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87" yWindow="65522" windowWidth="13730" windowHeight="13217" tabRatio="931" activeTab="0"/>
  </bookViews>
  <sheets>
    <sheet name="stock-dom-com-ind-evap" sheetId="1" r:id="rId1"/>
    <sheet name="Freeport" sheetId="2" r:id="rId2"/>
    <sheet name="Diversions" sheetId="3" r:id="rId3"/>
    <sheet name="apachearagon" sheetId="4" r:id="rId4"/>
    <sheet name="luna" sheetId="5" r:id="rId5"/>
    <sheet name="glenwood" sheetId="6" r:id="rId6"/>
    <sheet name="reserve" sheetId="7" r:id="rId7"/>
    <sheet name="uppergila" sheetId="8" r:id="rId8"/>
    <sheet name="cliffgila" sheetId="9" r:id="rId9"/>
    <sheet name="redrock" sheetId="10" r:id="rId10"/>
    <sheet name="virden" sheetId="11" r:id="rId11"/>
    <sheet name="sansimon" sheetId="12" r:id="rId12"/>
    <sheet name="Tables1,2,3,4" sheetId="13" r:id="rId13"/>
    <sheet name="Misc.Tables" sheetId="14" r:id="rId14"/>
  </sheets>
  <definedNames>
    <definedName name="_ftn1" localSheetId="0">'stock-dom-com-ind-evap'!#REF!</definedName>
    <definedName name="_ftn2" localSheetId="0">'stock-dom-com-ind-evap'!#REF!</definedName>
    <definedName name="_ftn3" localSheetId="0">'stock-dom-com-ind-evap'!#REF!</definedName>
    <definedName name="_ftn4" localSheetId="0">'stock-dom-com-ind-evap'!#REF!</definedName>
    <definedName name="_ftn5" localSheetId="0">'stock-dom-com-ind-evap'!#REF!</definedName>
    <definedName name="_ftn6" localSheetId="0">'stock-dom-com-ind-evap'!#REF!</definedName>
    <definedName name="_ftnref1" localSheetId="0">'stock-dom-com-ind-evap'!$C$81</definedName>
    <definedName name="_ftnref2" localSheetId="0">'stock-dom-com-ind-evap'!$C$82</definedName>
    <definedName name="_ftnref3" localSheetId="0">'stock-dom-com-ind-evap'!$C$107</definedName>
    <definedName name="_ftnref4" localSheetId="0">'stock-dom-com-ind-evap'!$C$108</definedName>
    <definedName name="_ftnref5" localSheetId="0">'stock-dom-com-ind-evap'!$C$110</definedName>
    <definedName name="_ftnref6" localSheetId="0">'stock-dom-com-ind-evap'!$C$111</definedName>
    <definedName name="_xlnm.Print_Area" localSheetId="3">'apachearagon'!$A$1:$X$45</definedName>
    <definedName name="_xlnm.Print_Area" localSheetId="8">'cliffgila'!$A$1:$X$48</definedName>
    <definedName name="_xlnm.Print_Area" localSheetId="2">'Diversions'!$A$1:$M$77</definedName>
    <definedName name="_xlnm.Print_Area" localSheetId="1">'Freeport'!$A$1:$F$27</definedName>
    <definedName name="_xlnm.Print_Area" localSheetId="5">'glenwood'!$A$1:$AN$48</definedName>
    <definedName name="_xlnm.Print_Area" localSheetId="4">'luna'!$A$1:$AI$46</definedName>
    <definedName name="_xlnm.Print_Area" localSheetId="13">'Misc.Tables'!$A$1:$H$43</definedName>
    <definedName name="_xlnm.Print_Area" localSheetId="9">'redrock'!$A$1:$AA$47</definedName>
    <definedName name="_xlnm.Print_Area" localSheetId="6">'reserve'!$A$1:$AT$46</definedName>
    <definedName name="_xlnm.Print_Area" localSheetId="11">'sansimon'!$A$1:$X$57</definedName>
    <definedName name="_xlnm.Print_Area" localSheetId="0">'stock-dom-com-ind-evap'!$A$1:$H$147</definedName>
    <definedName name="_xlnm.Print_Area" localSheetId="12">'Tables1,2,3,4'!$A$1:$L$76</definedName>
    <definedName name="_xlnm.Print_Area" localSheetId="7">'uppergila'!$A$1:$X$45</definedName>
    <definedName name="_xlnm.Print_Area" localSheetId="10">'virden'!$A$1:$X$47</definedName>
  </definedNames>
  <calcPr fullCalcOnLoad="1"/>
</workbook>
</file>

<file path=xl/comments10.xml><?xml version="1.0" encoding="utf-8"?>
<comments xmlns="http://schemas.openxmlformats.org/spreadsheetml/2006/main">
  <authors>
    <author>mmagnuso</author>
  </authors>
  <commentList>
    <comment ref="I11" authorId="0">
      <text>
        <r>
          <rPr>
            <b/>
            <sz val="8"/>
            <rFont val="Tahoma"/>
            <family val="2"/>
          </rPr>
          <t>mmagnuso:</t>
        </r>
        <r>
          <rPr>
            <sz val="8"/>
            <rFont val="Tahoma"/>
            <family val="2"/>
          </rPr>
          <t xml:space="preserve">
Total includes crop CU and reservoir CU</t>
        </r>
      </text>
    </comment>
    <comment ref="F11" authorId="0">
      <text>
        <r>
          <rPr>
            <b/>
            <sz val="8"/>
            <rFont val="Tahoma"/>
            <family val="2"/>
          </rPr>
          <t>mmagnuso:</t>
        </r>
        <r>
          <rPr>
            <sz val="8"/>
            <rFont val="Tahoma"/>
            <family val="2"/>
          </rPr>
          <t xml:space="preserve">
(Monthly pan evap *(0.8) minus monthly precipitation) multiplied by reservoir acres</t>
        </r>
      </text>
    </comment>
  </commentList>
</comments>
</file>

<file path=xl/comments11.xml><?xml version="1.0" encoding="utf-8"?>
<comments xmlns="http://schemas.openxmlformats.org/spreadsheetml/2006/main">
  <authors>
    <author>mmagnuso</author>
  </authors>
  <commentList>
    <comment ref="I10" authorId="0">
      <text>
        <r>
          <rPr>
            <b/>
            <sz val="8"/>
            <rFont val="Tahoma"/>
            <family val="2"/>
          </rPr>
          <t>mmagnuso:</t>
        </r>
        <r>
          <rPr>
            <sz val="8"/>
            <rFont val="Tahoma"/>
            <family val="2"/>
          </rPr>
          <t xml:space="preserve">
Total includes crop CU and reservoir CU</t>
        </r>
      </text>
    </comment>
    <comment ref="F10" authorId="0">
      <text>
        <r>
          <rPr>
            <b/>
            <sz val="8"/>
            <rFont val="Tahoma"/>
            <family val="2"/>
          </rPr>
          <t>mmagnuso:</t>
        </r>
        <r>
          <rPr>
            <sz val="8"/>
            <rFont val="Tahoma"/>
            <family val="2"/>
          </rPr>
          <t xml:space="preserve">
(Monthly pan evap *(0.8) minus monthly precipitation) multiplied by reservoir acres</t>
        </r>
      </text>
    </comment>
  </commentList>
</comments>
</file>

<file path=xl/comments12.xml><?xml version="1.0" encoding="utf-8"?>
<comments xmlns="http://schemas.openxmlformats.org/spreadsheetml/2006/main">
  <authors>
    <author>Paul Harms</author>
    <author>mmagnuso</author>
  </authors>
  <commentList>
    <comment ref="I10" authorId="0">
      <text>
        <r>
          <rPr>
            <sz val="8"/>
            <rFont val="Tahoma"/>
            <family val="2"/>
          </rPr>
          <t>mmagnuso:
Total includes crop CU and reservoir CU</t>
        </r>
      </text>
    </comment>
    <comment ref="F10" authorId="1">
      <text>
        <r>
          <rPr>
            <b/>
            <sz val="8"/>
            <rFont val="Tahoma"/>
            <family val="2"/>
          </rPr>
          <t>mmagnuso:</t>
        </r>
        <r>
          <rPr>
            <sz val="8"/>
            <rFont val="Tahoma"/>
            <family val="2"/>
          </rPr>
          <t xml:space="preserve">
(Monthly pan evap *(0.8) minus monthly precipitation) multiplied by reservoir acres</t>
        </r>
      </text>
    </comment>
  </commentList>
</comments>
</file>

<file path=xl/comments4.xml><?xml version="1.0" encoding="utf-8"?>
<comments xmlns="http://schemas.openxmlformats.org/spreadsheetml/2006/main">
  <authors>
    <author>mmagnuso</author>
  </authors>
  <commentList>
    <comment ref="F11" authorId="0">
      <text>
        <r>
          <rPr>
            <b/>
            <sz val="8"/>
            <rFont val="Tahoma"/>
            <family val="2"/>
          </rPr>
          <t>mmagnuso:</t>
        </r>
        <r>
          <rPr>
            <sz val="8"/>
            <rFont val="Tahoma"/>
            <family val="2"/>
          </rPr>
          <t xml:space="preserve">
(Monthly pan evap *(0.8) minus monthly precipitation) multiplied by reservoir acres</t>
        </r>
      </text>
    </comment>
    <comment ref="I11" authorId="0">
      <text>
        <r>
          <rPr>
            <b/>
            <sz val="8"/>
            <rFont val="Tahoma"/>
            <family val="2"/>
          </rPr>
          <t>mmagnuso:</t>
        </r>
        <r>
          <rPr>
            <sz val="8"/>
            <rFont val="Tahoma"/>
            <family val="2"/>
          </rPr>
          <t xml:space="preserve">
Total includes crop CU and reservoir CU</t>
        </r>
      </text>
    </comment>
  </commentList>
</comments>
</file>

<file path=xl/comments5.xml><?xml version="1.0" encoding="utf-8"?>
<comments xmlns="http://schemas.openxmlformats.org/spreadsheetml/2006/main">
  <authors>
    <author>mmagnuso</author>
  </authors>
  <commentList>
    <comment ref="I11" authorId="0">
      <text>
        <r>
          <rPr>
            <b/>
            <sz val="8"/>
            <rFont val="Tahoma"/>
            <family val="2"/>
          </rPr>
          <t>mmagnuso:</t>
        </r>
        <r>
          <rPr>
            <sz val="8"/>
            <rFont val="Tahoma"/>
            <family val="2"/>
          </rPr>
          <t xml:space="preserve">
Total includes crop CU and reservoir CU</t>
        </r>
      </text>
    </comment>
    <comment ref="O11" authorId="0">
      <text>
        <r>
          <rPr>
            <b/>
            <sz val="8"/>
            <rFont val="Tahoma"/>
            <family val="2"/>
          </rPr>
          <t>mmagnuso:</t>
        </r>
        <r>
          <rPr>
            <sz val="8"/>
            <rFont val="Tahoma"/>
            <family val="2"/>
          </rPr>
          <t xml:space="preserve">
Total includes crop CU and reservoir CU</t>
        </r>
      </text>
    </comment>
    <comment ref="U11" authorId="0">
      <text>
        <r>
          <rPr>
            <b/>
            <sz val="8"/>
            <rFont val="Tahoma"/>
            <family val="2"/>
          </rPr>
          <t>mmagnuso:</t>
        </r>
        <r>
          <rPr>
            <sz val="8"/>
            <rFont val="Tahoma"/>
            <family val="2"/>
          </rPr>
          <t xml:space="preserve">
Total includes crop CU and reservoir CU</t>
        </r>
      </text>
    </comment>
    <comment ref="AA11" authorId="0">
      <text>
        <r>
          <rPr>
            <b/>
            <sz val="8"/>
            <rFont val="Tahoma"/>
            <family val="2"/>
          </rPr>
          <t>mmagnuso:</t>
        </r>
        <r>
          <rPr>
            <sz val="8"/>
            <rFont val="Tahoma"/>
            <family val="2"/>
          </rPr>
          <t xml:space="preserve">
Total includes crop CU and reservoir CU</t>
        </r>
      </text>
    </comment>
    <comment ref="AG11" authorId="0">
      <text>
        <r>
          <rPr>
            <b/>
            <sz val="8"/>
            <rFont val="Tahoma"/>
            <family val="2"/>
          </rPr>
          <t>mmagnuso:</t>
        </r>
        <r>
          <rPr>
            <sz val="8"/>
            <rFont val="Tahoma"/>
            <family val="2"/>
          </rPr>
          <t xml:space="preserve">
Total includes crop CU and reservoir CU</t>
        </r>
      </text>
    </comment>
    <comment ref="F11" authorId="0">
      <text>
        <r>
          <rPr>
            <b/>
            <sz val="8"/>
            <rFont val="Tahoma"/>
            <family val="2"/>
          </rPr>
          <t>mmagnuso:</t>
        </r>
        <r>
          <rPr>
            <sz val="8"/>
            <rFont val="Tahoma"/>
            <family val="2"/>
          </rPr>
          <t xml:space="preserve">
(Monthly pan evap *(0.8) minus monthly precipitation) multiplied by reservoir acres</t>
        </r>
      </text>
    </comment>
    <comment ref="L11" authorId="0">
      <text>
        <r>
          <rPr>
            <b/>
            <sz val="8"/>
            <rFont val="Tahoma"/>
            <family val="2"/>
          </rPr>
          <t>mmagnuso:</t>
        </r>
        <r>
          <rPr>
            <sz val="8"/>
            <rFont val="Tahoma"/>
            <family val="2"/>
          </rPr>
          <t xml:space="preserve">
(Monthly pan evap *(0.8) minus monthly precipitation) multiplied by reservoir acres</t>
        </r>
      </text>
    </comment>
    <comment ref="R11" authorId="0">
      <text>
        <r>
          <rPr>
            <b/>
            <sz val="8"/>
            <rFont val="Tahoma"/>
            <family val="2"/>
          </rPr>
          <t>mmagnuso:</t>
        </r>
        <r>
          <rPr>
            <sz val="8"/>
            <rFont val="Tahoma"/>
            <family val="2"/>
          </rPr>
          <t xml:space="preserve">
(Monthly pan evap *(0.8) minus monthly precipitation) multiplied by reservoir acres</t>
        </r>
      </text>
    </comment>
    <comment ref="X11" authorId="0">
      <text>
        <r>
          <rPr>
            <b/>
            <sz val="8"/>
            <rFont val="Tahoma"/>
            <family val="2"/>
          </rPr>
          <t>mmagnuso:</t>
        </r>
        <r>
          <rPr>
            <sz val="8"/>
            <rFont val="Tahoma"/>
            <family val="2"/>
          </rPr>
          <t xml:space="preserve">
(Monthly pan evap *(0.8) minus monthly precipitation) multiplied by reservoir acres</t>
        </r>
      </text>
    </comment>
    <comment ref="AD11" authorId="0">
      <text>
        <r>
          <rPr>
            <b/>
            <sz val="8"/>
            <rFont val="Tahoma"/>
            <family val="2"/>
          </rPr>
          <t>mmagnuso:</t>
        </r>
        <r>
          <rPr>
            <sz val="8"/>
            <rFont val="Tahoma"/>
            <family val="2"/>
          </rPr>
          <t xml:space="preserve">
(Monthly pan evap *(0.8) minus monthly precipitation) multiplied by reservoir acres</t>
        </r>
      </text>
    </comment>
  </commentList>
</comments>
</file>

<file path=xl/comments6.xml><?xml version="1.0" encoding="utf-8"?>
<comments xmlns="http://schemas.openxmlformats.org/spreadsheetml/2006/main">
  <authors>
    <author>mmagnuso</author>
    <author>pturney</author>
  </authors>
  <commentList>
    <comment ref="I11" authorId="0">
      <text>
        <r>
          <rPr>
            <b/>
            <sz val="8"/>
            <rFont val="Tahoma"/>
            <family val="2"/>
          </rPr>
          <t>mmagnuso:</t>
        </r>
        <r>
          <rPr>
            <sz val="8"/>
            <rFont val="Tahoma"/>
            <family val="2"/>
          </rPr>
          <t xml:space="preserve">
Total includes crop CU and reservoir CU</t>
        </r>
      </text>
    </comment>
    <comment ref="O11" authorId="0">
      <text>
        <r>
          <rPr>
            <b/>
            <sz val="8"/>
            <rFont val="Tahoma"/>
            <family val="2"/>
          </rPr>
          <t>mmagnuso:</t>
        </r>
        <r>
          <rPr>
            <sz val="8"/>
            <rFont val="Tahoma"/>
            <family val="2"/>
          </rPr>
          <t xml:space="preserve">
Total includes crop CU and reservoir CU</t>
        </r>
      </text>
    </comment>
    <comment ref="U11" authorId="0">
      <text>
        <r>
          <rPr>
            <b/>
            <sz val="8"/>
            <rFont val="Tahoma"/>
            <family val="2"/>
          </rPr>
          <t>mmagnuso:</t>
        </r>
        <r>
          <rPr>
            <sz val="8"/>
            <rFont val="Tahoma"/>
            <family val="2"/>
          </rPr>
          <t xml:space="preserve">
Total includes crop CU and reservoir CU</t>
        </r>
      </text>
    </comment>
    <comment ref="AA11" authorId="0">
      <text>
        <r>
          <rPr>
            <b/>
            <sz val="8"/>
            <rFont val="Tahoma"/>
            <family val="2"/>
          </rPr>
          <t>mmagnuso:</t>
        </r>
        <r>
          <rPr>
            <sz val="8"/>
            <rFont val="Tahoma"/>
            <family val="2"/>
          </rPr>
          <t xml:space="preserve">
Total includes crop CU and reservoir CU</t>
        </r>
      </text>
    </comment>
    <comment ref="AG11" authorId="0">
      <text>
        <r>
          <rPr>
            <b/>
            <sz val="8"/>
            <rFont val="Tahoma"/>
            <family val="2"/>
          </rPr>
          <t>mmagnuso:</t>
        </r>
        <r>
          <rPr>
            <sz val="8"/>
            <rFont val="Tahoma"/>
            <family val="2"/>
          </rPr>
          <t xml:space="preserve">
Total includes crop CU and reservoir CU</t>
        </r>
      </text>
    </comment>
    <comment ref="AM11" authorId="0">
      <text>
        <r>
          <rPr>
            <b/>
            <sz val="8"/>
            <rFont val="Tahoma"/>
            <family val="2"/>
          </rPr>
          <t>mmagnuso:</t>
        </r>
        <r>
          <rPr>
            <sz val="8"/>
            <rFont val="Tahoma"/>
            <family val="2"/>
          </rPr>
          <t xml:space="preserve">
Total includes crop CU and reservoir CU</t>
        </r>
      </text>
    </comment>
    <comment ref="S11" authorId="1">
      <text>
        <r>
          <rPr>
            <b/>
            <sz val="10"/>
            <rFont val="Tahoma"/>
            <family val="2"/>
          </rPr>
          <t>pturney:</t>
        </r>
        <r>
          <rPr>
            <sz val="10"/>
            <rFont val="Tahoma"/>
            <family val="2"/>
          </rPr>
          <t xml:space="preserve">
=value in left adjacent column / e</t>
        </r>
      </text>
    </comment>
    <comment ref="F11" authorId="0">
      <text>
        <r>
          <rPr>
            <b/>
            <sz val="8"/>
            <rFont val="Tahoma"/>
            <family val="2"/>
          </rPr>
          <t>mmagnuso:</t>
        </r>
        <r>
          <rPr>
            <sz val="8"/>
            <rFont val="Tahoma"/>
            <family val="2"/>
          </rPr>
          <t xml:space="preserve">
(Monthly pan evap *(0.8) minus monthly precipitation) multiplied by reservoir acres</t>
        </r>
      </text>
    </comment>
    <comment ref="L11" authorId="0">
      <text>
        <r>
          <rPr>
            <b/>
            <sz val="8"/>
            <rFont val="Tahoma"/>
            <family val="2"/>
          </rPr>
          <t>mmagnuso:</t>
        </r>
        <r>
          <rPr>
            <sz val="8"/>
            <rFont val="Tahoma"/>
            <family val="2"/>
          </rPr>
          <t xml:space="preserve">
(Monthly pan evap *(0.8) minus monthly precipitation) multiplied by reservoir acres</t>
        </r>
      </text>
    </comment>
    <comment ref="R11" authorId="0">
      <text>
        <r>
          <rPr>
            <b/>
            <sz val="8"/>
            <rFont val="Tahoma"/>
            <family val="2"/>
          </rPr>
          <t>mmagnuso:</t>
        </r>
        <r>
          <rPr>
            <sz val="8"/>
            <rFont val="Tahoma"/>
            <family val="2"/>
          </rPr>
          <t xml:space="preserve">
(Monthly pan evap *(0.8) minus monthly precipitation) multiplied by reservoir acres</t>
        </r>
      </text>
    </comment>
    <comment ref="X11" authorId="0">
      <text>
        <r>
          <rPr>
            <b/>
            <sz val="8"/>
            <rFont val="Tahoma"/>
            <family val="2"/>
          </rPr>
          <t>mmagnuso:</t>
        </r>
        <r>
          <rPr>
            <sz val="8"/>
            <rFont val="Tahoma"/>
            <family val="2"/>
          </rPr>
          <t xml:space="preserve">
(Monthly pan evap *(0.8) minus monthly precipitation) multiplied by reservoir acres</t>
        </r>
      </text>
    </comment>
    <comment ref="AD11" authorId="0">
      <text>
        <r>
          <rPr>
            <b/>
            <sz val="8"/>
            <rFont val="Tahoma"/>
            <family val="2"/>
          </rPr>
          <t>mmagnuso:</t>
        </r>
        <r>
          <rPr>
            <sz val="8"/>
            <rFont val="Tahoma"/>
            <family val="2"/>
          </rPr>
          <t xml:space="preserve">
(Monthly pan evap *(0.8) minus monthly precipitation) multiplied by reservoir acres</t>
        </r>
      </text>
    </comment>
    <comment ref="AJ11" authorId="0">
      <text>
        <r>
          <rPr>
            <b/>
            <sz val="8"/>
            <rFont val="Tahoma"/>
            <family val="2"/>
          </rPr>
          <t>mmagnuso:</t>
        </r>
        <r>
          <rPr>
            <sz val="8"/>
            <rFont val="Tahoma"/>
            <family val="2"/>
          </rPr>
          <t xml:space="preserve">
(Monthly pan evap *(0.8) minus monthly precipitation) multiplied by reservoir acres</t>
        </r>
      </text>
    </comment>
  </commentList>
</comments>
</file>

<file path=xl/comments7.xml><?xml version="1.0" encoding="utf-8"?>
<comments xmlns="http://schemas.openxmlformats.org/spreadsheetml/2006/main">
  <authors>
    <author>mmagnuso</author>
  </authors>
  <commentList>
    <comment ref="I11" authorId="0">
      <text>
        <r>
          <rPr>
            <b/>
            <sz val="8"/>
            <rFont val="Tahoma"/>
            <family val="2"/>
          </rPr>
          <t>mmagnuso:</t>
        </r>
        <r>
          <rPr>
            <sz val="8"/>
            <rFont val="Tahoma"/>
            <family val="2"/>
          </rPr>
          <t xml:space="preserve">
Total includes crop CU and reservoir CU</t>
        </r>
      </text>
    </comment>
    <comment ref="O11" authorId="0">
      <text>
        <r>
          <rPr>
            <b/>
            <sz val="8"/>
            <rFont val="Tahoma"/>
            <family val="2"/>
          </rPr>
          <t>mmagnuso:</t>
        </r>
        <r>
          <rPr>
            <sz val="8"/>
            <rFont val="Tahoma"/>
            <family val="2"/>
          </rPr>
          <t xml:space="preserve">
Total includes crop CU and reservoir CU</t>
        </r>
      </text>
    </comment>
    <comment ref="U11" authorId="0">
      <text>
        <r>
          <rPr>
            <b/>
            <sz val="8"/>
            <rFont val="Tahoma"/>
            <family val="2"/>
          </rPr>
          <t>mmagnuso:</t>
        </r>
        <r>
          <rPr>
            <sz val="8"/>
            <rFont val="Tahoma"/>
            <family val="2"/>
          </rPr>
          <t xml:space="preserve">
Total includes crop CU and reservoir CU</t>
        </r>
      </text>
    </comment>
    <comment ref="AA11" authorId="0">
      <text>
        <r>
          <rPr>
            <b/>
            <sz val="8"/>
            <rFont val="Tahoma"/>
            <family val="2"/>
          </rPr>
          <t>mmagnuso:</t>
        </r>
        <r>
          <rPr>
            <sz val="8"/>
            <rFont val="Tahoma"/>
            <family val="2"/>
          </rPr>
          <t xml:space="preserve">
Total includes crop CU and reservoir CU</t>
        </r>
      </text>
    </comment>
    <comment ref="AG11" authorId="0">
      <text>
        <r>
          <rPr>
            <b/>
            <sz val="8"/>
            <rFont val="Tahoma"/>
            <family val="2"/>
          </rPr>
          <t>mmagnuso:</t>
        </r>
        <r>
          <rPr>
            <sz val="8"/>
            <rFont val="Tahoma"/>
            <family val="2"/>
          </rPr>
          <t xml:space="preserve">
Total includes crop CU and reservoir CU</t>
        </r>
      </text>
    </comment>
    <comment ref="AM11" authorId="0">
      <text>
        <r>
          <rPr>
            <b/>
            <sz val="8"/>
            <rFont val="Tahoma"/>
            <family val="2"/>
          </rPr>
          <t>mmagnuso:</t>
        </r>
        <r>
          <rPr>
            <sz val="8"/>
            <rFont val="Tahoma"/>
            <family val="2"/>
          </rPr>
          <t xml:space="preserve">
Total includes crop CU and reservoir CU</t>
        </r>
      </text>
    </comment>
    <comment ref="AS11" authorId="0">
      <text>
        <r>
          <rPr>
            <b/>
            <sz val="8"/>
            <rFont val="Tahoma"/>
            <family val="2"/>
          </rPr>
          <t>mmagnuso:</t>
        </r>
        <r>
          <rPr>
            <sz val="8"/>
            <rFont val="Tahoma"/>
            <family val="2"/>
          </rPr>
          <t xml:space="preserve">
Total includes crop CU and reservoir CU</t>
        </r>
      </text>
    </comment>
    <comment ref="F11" authorId="0">
      <text>
        <r>
          <rPr>
            <b/>
            <sz val="8"/>
            <rFont val="Tahoma"/>
            <family val="2"/>
          </rPr>
          <t>mmagnuso:</t>
        </r>
        <r>
          <rPr>
            <sz val="8"/>
            <rFont val="Tahoma"/>
            <family val="2"/>
          </rPr>
          <t xml:space="preserve">
(Monthly pan evap *(0.8) minus monthly precipitation) multiplied by reservoir acres</t>
        </r>
      </text>
    </comment>
    <comment ref="L11" authorId="0">
      <text>
        <r>
          <rPr>
            <b/>
            <sz val="8"/>
            <rFont val="Tahoma"/>
            <family val="2"/>
          </rPr>
          <t>mmagnuso:</t>
        </r>
        <r>
          <rPr>
            <sz val="8"/>
            <rFont val="Tahoma"/>
            <family val="2"/>
          </rPr>
          <t xml:space="preserve">
(Monthly pan evap *(0.8) minus monthly precipitation) multiplied by reservoir acres</t>
        </r>
      </text>
    </comment>
    <comment ref="R11" authorId="0">
      <text>
        <r>
          <rPr>
            <b/>
            <sz val="8"/>
            <rFont val="Tahoma"/>
            <family val="2"/>
          </rPr>
          <t>mmagnuso:</t>
        </r>
        <r>
          <rPr>
            <sz val="8"/>
            <rFont val="Tahoma"/>
            <family val="2"/>
          </rPr>
          <t xml:space="preserve">
(Monthly pan evap *(0.8) minus monthly precipitation) multiplied by reservoir acres</t>
        </r>
      </text>
    </comment>
    <comment ref="X11" authorId="0">
      <text>
        <r>
          <rPr>
            <b/>
            <sz val="8"/>
            <rFont val="Tahoma"/>
            <family val="2"/>
          </rPr>
          <t>mmagnuso:</t>
        </r>
        <r>
          <rPr>
            <sz val="8"/>
            <rFont val="Tahoma"/>
            <family val="2"/>
          </rPr>
          <t xml:space="preserve">
(Monthly pan evap *(0.8) minus monthly precipitation) multiplied by reservoir acres</t>
        </r>
      </text>
    </comment>
    <comment ref="AD11" authorId="0">
      <text>
        <r>
          <rPr>
            <b/>
            <sz val="8"/>
            <rFont val="Tahoma"/>
            <family val="2"/>
          </rPr>
          <t>mmagnuso:</t>
        </r>
        <r>
          <rPr>
            <sz val="8"/>
            <rFont val="Tahoma"/>
            <family val="2"/>
          </rPr>
          <t xml:space="preserve">
(Monthly pan evap *(0.8) minus monthly precipitation) multiplied by reservoir acres</t>
        </r>
      </text>
    </comment>
    <comment ref="AJ11" authorId="0">
      <text>
        <r>
          <rPr>
            <b/>
            <sz val="8"/>
            <rFont val="Tahoma"/>
            <family val="2"/>
          </rPr>
          <t>mmagnuso:</t>
        </r>
        <r>
          <rPr>
            <sz val="8"/>
            <rFont val="Tahoma"/>
            <family val="2"/>
          </rPr>
          <t xml:space="preserve">
(Monthly pan evap *(0.8) minus monthly precipitation) multiplied by reservoir acres</t>
        </r>
      </text>
    </comment>
    <comment ref="AP11" authorId="0">
      <text>
        <r>
          <rPr>
            <b/>
            <sz val="8"/>
            <rFont val="Tahoma"/>
            <family val="2"/>
          </rPr>
          <t>mmagnuso:</t>
        </r>
        <r>
          <rPr>
            <sz val="8"/>
            <rFont val="Tahoma"/>
            <family val="2"/>
          </rPr>
          <t xml:space="preserve">
(Monthly pan evap *(0.8) minus monthly precipitation) multiplied by reservoir acres</t>
        </r>
      </text>
    </comment>
  </commentList>
</comments>
</file>

<file path=xl/comments8.xml><?xml version="1.0" encoding="utf-8"?>
<comments xmlns="http://schemas.openxmlformats.org/spreadsheetml/2006/main">
  <authors>
    <author>mmagnuso</author>
  </authors>
  <commentList>
    <comment ref="I11" authorId="0">
      <text>
        <r>
          <rPr>
            <b/>
            <sz val="8"/>
            <rFont val="Tahoma"/>
            <family val="2"/>
          </rPr>
          <t>mmagnuso:</t>
        </r>
        <r>
          <rPr>
            <sz val="8"/>
            <rFont val="Tahoma"/>
            <family val="2"/>
          </rPr>
          <t xml:space="preserve">
Total includes crop CU and reservoir CU</t>
        </r>
      </text>
    </comment>
    <comment ref="F11" authorId="0">
      <text>
        <r>
          <rPr>
            <b/>
            <sz val="8"/>
            <rFont val="Tahoma"/>
            <family val="2"/>
          </rPr>
          <t>mmagnuso:</t>
        </r>
        <r>
          <rPr>
            <sz val="8"/>
            <rFont val="Tahoma"/>
            <family val="2"/>
          </rPr>
          <t xml:space="preserve">
(Monthly pan evap *(0.8) minus monthly precipitation) multiplied by reservoir acres</t>
        </r>
      </text>
    </comment>
  </commentList>
</comments>
</file>

<file path=xl/comments9.xml><?xml version="1.0" encoding="utf-8"?>
<comments xmlns="http://schemas.openxmlformats.org/spreadsheetml/2006/main">
  <authors>
    <author>mmagnuso</author>
  </authors>
  <commentList>
    <comment ref="I11" authorId="0">
      <text>
        <r>
          <rPr>
            <b/>
            <sz val="8"/>
            <rFont val="Tahoma"/>
            <family val="2"/>
          </rPr>
          <t>mmagnuso:</t>
        </r>
        <r>
          <rPr>
            <sz val="8"/>
            <rFont val="Tahoma"/>
            <family val="2"/>
          </rPr>
          <t xml:space="preserve">
Total includes crop CU and reservoir CU</t>
        </r>
      </text>
    </comment>
    <comment ref="O11" authorId="0">
      <text>
        <r>
          <rPr>
            <b/>
            <sz val="8"/>
            <rFont val="Tahoma"/>
            <family val="2"/>
          </rPr>
          <t>mmagnuso:</t>
        </r>
        <r>
          <rPr>
            <sz val="8"/>
            <rFont val="Tahoma"/>
            <family val="2"/>
          </rPr>
          <t xml:space="preserve">
Total includes crop CU and reservoir CU</t>
        </r>
      </text>
    </comment>
    <comment ref="U11" authorId="0">
      <text>
        <r>
          <rPr>
            <b/>
            <sz val="8"/>
            <rFont val="Tahoma"/>
            <family val="2"/>
          </rPr>
          <t>mmagnuso:</t>
        </r>
        <r>
          <rPr>
            <sz val="8"/>
            <rFont val="Tahoma"/>
            <family val="2"/>
          </rPr>
          <t xml:space="preserve">
Total includes crop CU and reservoir CU</t>
        </r>
      </text>
    </comment>
    <comment ref="F11" authorId="0">
      <text>
        <r>
          <rPr>
            <b/>
            <sz val="8"/>
            <rFont val="Tahoma"/>
            <family val="2"/>
          </rPr>
          <t>mmagnuso:</t>
        </r>
        <r>
          <rPr>
            <sz val="8"/>
            <rFont val="Tahoma"/>
            <family val="2"/>
          </rPr>
          <t xml:space="preserve">
(Monthly pan evap *(0.8) minus monthly precipitation) multiplied by reservoir acres</t>
        </r>
      </text>
    </comment>
    <comment ref="L11" authorId="0">
      <text>
        <r>
          <rPr>
            <b/>
            <sz val="8"/>
            <rFont val="Tahoma"/>
            <family val="2"/>
          </rPr>
          <t>mmagnuso:</t>
        </r>
        <r>
          <rPr>
            <sz val="8"/>
            <rFont val="Tahoma"/>
            <family val="2"/>
          </rPr>
          <t xml:space="preserve">
(Monthly pan evap *(0.8) minus monthly precipitation) multiplied by reservoir acres</t>
        </r>
      </text>
    </comment>
    <comment ref="R11" authorId="0">
      <text>
        <r>
          <rPr>
            <b/>
            <sz val="8"/>
            <rFont val="Tahoma"/>
            <family val="2"/>
          </rPr>
          <t>mmagnuso:</t>
        </r>
        <r>
          <rPr>
            <sz val="8"/>
            <rFont val="Tahoma"/>
            <family val="2"/>
          </rPr>
          <t xml:space="preserve">
(Monthly pan evap *(0.8) minus monthly precipitation) multiplied by reservoir acres</t>
        </r>
      </text>
    </comment>
  </commentList>
</comments>
</file>

<file path=xl/sharedStrings.xml><?xml version="1.0" encoding="utf-8"?>
<sst xmlns="http://schemas.openxmlformats.org/spreadsheetml/2006/main" count="1526" uniqueCount="417">
  <si>
    <t>CU Demand/Full Supply</t>
  </si>
  <si>
    <t>Total CU Demand/Full Supply</t>
  </si>
  <si>
    <t>Diversion Required for CU *</t>
  </si>
  <si>
    <t>Diversion Shortage to CU *</t>
  </si>
  <si>
    <t>Total  Shortage to CU Demand</t>
  </si>
  <si>
    <t xml:space="preserve">            W S Ditch (GSF39 supplement)</t>
  </si>
  <si>
    <t>CIR (ft)</t>
  </si>
  <si>
    <t>CIR (in)</t>
  </si>
  <si>
    <t>CIR full season (ft)</t>
  </si>
  <si>
    <t>CIR Jul-Nov (ft)</t>
  </si>
  <si>
    <t>inches DISTRIBUTED USING MODIFIED BLANEY-CRIDDLE MONTHLY DISTRIBUTION RATIOS</t>
  </si>
  <si>
    <t>0.30</t>
  </si>
  <si>
    <t>Total Evap</t>
  </si>
  <si>
    <t>x.70 (in)</t>
  </si>
  <si>
    <t>Additional Measured Discharge (AF)</t>
  </si>
  <si>
    <t>Total GW measured:</t>
  </si>
  <si>
    <t>Cattle</t>
  </si>
  <si>
    <t>Sheep</t>
  </si>
  <si>
    <t>San Francisco</t>
  </si>
  <si>
    <t>Diverted</t>
  </si>
  <si>
    <t>March</t>
  </si>
  <si>
    <t>February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</si>
  <si>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</si>
  <si>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</si>
  <si>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</si>
  <si>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</si>
  <si>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</si>
  <si>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</si>
  <si>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</si>
  <si>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</si>
  <si>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APACHE - ARAGON</t>
  </si>
  <si>
    <t>Tularosa-Cruzville Ditch</t>
  </si>
  <si>
    <t>GLENWOOD - MULE CREEK</t>
  </si>
  <si>
    <t>East Pleasanton Ditch</t>
  </si>
  <si>
    <t>TOTALS</t>
  </si>
  <si>
    <t>Consumptive Use</t>
  </si>
  <si>
    <t>All Cattle*</t>
  </si>
  <si>
    <t>Catron</t>
  </si>
  <si>
    <t>Grant</t>
  </si>
  <si>
    <t>Hidalgo</t>
  </si>
  <si>
    <t>Gila River Basin</t>
  </si>
  <si>
    <t>Drainage Basin is 53% of Grant County</t>
  </si>
  <si>
    <t>Virden Valley</t>
  </si>
  <si>
    <t>Drainage Basin is 6% of Hidalgo County</t>
  </si>
  <si>
    <t>San Simon</t>
  </si>
  <si>
    <t>Drainage Basin is 7% of Hidalgo County</t>
  </si>
  <si>
    <t>San Francisco River Basin</t>
  </si>
  <si>
    <t>Drainage Basin is 41% of Catron County</t>
  </si>
  <si>
    <t xml:space="preserve">    </t>
  </si>
  <si>
    <t xml:space="preserve">     </t>
  </si>
  <si>
    <t>Reservoir</t>
  </si>
  <si>
    <t>Pan Evap</t>
  </si>
  <si>
    <t>Precip</t>
  </si>
  <si>
    <t>Evap</t>
  </si>
  <si>
    <t xml:space="preserve">  (in)</t>
  </si>
  <si>
    <t>(ft)</t>
  </si>
  <si>
    <t xml:space="preserve">  X</t>
  </si>
  <si>
    <t xml:space="preserve">Area </t>
  </si>
  <si>
    <t>(in)</t>
  </si>
  <si>
    <t>Luna</t>
  </si>
  <si>
    <t>Ap-Aragon</t>
  </si>
  <si>
    <t>Reserve</t>
  </si>
  <si>
    <t>Glenwood</t>
  </si>
  <si>
    <t>Upper Gila</t>
  </si>
  <si>
    <t>Cliff Gila</t>
  </si>
  <si>
    <t>Redrock</t>
  </si>
  <si>
    <t>Virden</t>
  </si>
  <si>
    <t>Apache-Aragon</t>
  </si>
  <si>
    <t>Average</t>
  </si>
  <si>
    <t>Surface</t>
  </si>
  <si>
    <t>area (ac)</t>
  </si>
  <si>
    <t xml:space="preserve">    Evap</t>
  </si>
  <si>
    <t xml:space="preserve">(af)  </t>
  </si>
  <si>
    <t>Total</t>
  </si>
  <si>
    <t>af</t>
  </si>
  <si>
    <t>Evap Rate</t>
  </si>
  <si>
    <t>Weighted</t>
  </si>
  <si>
    <t>Area (ac)</t>
  </si>
  <si>
    <t>0.8 (in)</t>
  </si>
  <si>
    <t>(af)</t>
  </si>
  <si>
    <t>Area</t>
  </si>
  <si>
    <t>Groundwater Diversions:</t>
  </si>
  <si>
    <t>GSF-1146:</t>
  </si>
  <si>
    <t>GSF-2443:</t>
  </si>
  <si>
    <t>GSF-19:</t>
  </si>
  <si>
    <t>REDROCK</t>
  </si>
  <si>
    <t>VIRDEN VALLEY</t>
  </si>
  <si>
    <t>SAN SIMON</t>
  </si>
  <si>
    <t>MONTH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</si>
  <si>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</si>
  <si>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</si>
  <si>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</si>
  <si>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</si>
  <si>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</si>
  <si>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</si>
  <si>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</si>
  <si>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</si>
  <si>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</si>
  <si>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</si>
  <si>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</si>
  <si>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Ratio to Annual Total</t>
  </si>
  <si>
    <t>Parsons Ditch</t>
  </si>
  <si>
    <t>SAN FRANCISCO RIVER</t>
  </si>
  <si>
    <t xml:space="preserve">     Luna</t>
  </si>
  <si>
    <t xml:space="preserve">     Apache-Aragon</t>
  </si>
  <si>
    <t xml:space="preserve">     Reserve</t>
  </si>
  <si>
    <t xml:space="preserve">     Glenwood-Mule Creek</t>
  </si>
  <si>
    <t xml:space="preserve">        TOTAL</t>
  </si>
  <si>
    <t>GILA RIVER exclusive</t>
  </si>
  <si>
    <t>of Virden Valley</t>
  </si>
  <si>
    <t xml:space="preserve">     Upper Gila</t>
  </si>
  <si>
    <t xml:space="preserve">     Cliff-Gila</t>
  </si>
  <si>
    <t xml:space="preserve">     Redrock</t>
  </si>
  <si>
    <t>GILA RIVER</t>
  </si>
  <si>
    <t xml:space="preserve">    Virden Valley</t>
  </si>
  <si>
    <t xml:space="preserve">    San Simon</t>
  </si>
  <si>
    <t>Shortage to Full Supply</t>
  </si>
  <si>
    <t xml:space="preserve">Mangas Spgs   </t>
  </si>
  <si>
    <t>Upper Duck Cr</t>
  </si>
  <si>
    <t xml:space="preserve">Sacaton Cr </t>
  </si>
  <si>
    <t>Metered</t>
  </si>
  <si>
    <t xml:space="preserve">Non-Metered </t>
  </si>
  <si>
    <t>Total Acres</t>
  </si>
  <si>
    <t>Incidental Losses</t>
  </si>
  <si>
    <t xml:space="preserve"> * Shortage based on measured surface water diversions; no groundwater supplement</t>
  </si>
  <si>
    <t>Stock Tank Evaporation</t>
  </si>
  <si>
    <t>Irrigated Land Acres</t>
  </si>
  <si>
    <t>Crop Use Full Supply</t>
  </si>
  <si>
    <t>Incidental Use</t>
  </si>
  <si>
    <t>Year</t>
  </si>
  <si>
    <t>Gila - exclusive of Virden Valley</t>
  </si>
  <si>
    <t>Stream System</t>
  </si>
  <si>
    <t xml:space="preserve">     Virden Valley</t>
  </si>
  <si>
    <t xml:space="preserve">     San Simon</t>
  </si>
  <si>
    <t>Hildalgo County Total</t>
  </si>
  <si>
    <t>Gila River</t>
  </si>
  <si>
    <t>Catron County Total</t>
  </si>
  <si>
    <t>San Francisco River</t>
  </si>
  <si>
    <t>Total No. of Adjudicated Tanks</t>
  </si>
  <si>
    <t>Units:  Acre-Feet</t>
  </si>
  <si>
    <t>Measured</t>
  </si>
  <si>
    <t>Estimated</t>
  </si>
  <si>
    <t>Dom &amp; Mun</t>
  </si>
  <si>
    <t>Measuring</t>
  </si>
  <si>
    <t>Irrigation</t>
  </si>
  <si>
    <t>Com &amp; Inds</t>
  </si>
  <si>
    <t>Device</t>
  </si>
  <si>
    <t>Diversions</t>
  </si>
  <si>
    <t>Digital</t>
  </si>
  <si>
    <t>Totalizer</t>
  </si>
  <si>
    <t>Total San Francisco Basin</t>
  </si>
  <si>
    <t>Cliff – Gila</t>
  </si>
  <si>
    <t>Total Gila Basin</t>
  </si>
  <si>
    <t>Total Virden Valley</t>
  </si>
  <si>
    <t>Total San Simon</t>
  </si>
  <si>
    <t>Gila - Virden Valley</t>
  </si>
  <si>
    <t>Stock</t>
  </si>
  <si>
    <t>Reserve area</t>
  </si>
  <si>
    <t>Glenwood area</t>
  </si>
  <si>
    <t>Redrock area</t>
  </si>
  <si>
    <t>San Simon area</t>
  </si>
  <si>
    <t>Virden Valley area</t>
  </si>
  <si>
    <t>Luna area</t>
  </si>
  <si>
    <t>Apache Creek–Aragon area</t>
  </si>
  <si>
    <t xml:space="preserve">  of Virden Valley</t>
  </si>
  <si>
    <t>Within National Forest</t>
  </si>
  <si>
    <t>Grant County Total</t>
  </si>
  <si>
    <t xml:space="preserve"> "e" = efficiency diversion to consumptive use =</t>
  </si>
  <si>
    <t>"e" = efficiency  diversion to consumptive use=</t>
  </si>
  <si>
    <r>
      <t>Farm efficiency (40%)</t>
    </r>
    <r>
      <rPr>
        <vertAlign val="superscript"/>
        <sz val="12"/>
        <rFont val="Arial"/>
        <family val="2"/>
      </rPr>
      <t>a</t>
    </r>
    <r>
      <rPr>
        <sz val="12"/>
        <rFont val="Arial"/>
        <family val="2"/>
      </rPr>
      <t xml:space="preserve"> multiplied by canal efficiency (75%)</t>
    </r>
    <r>
      <rPr>
        <vertAlign val="superscript"/>
        <sz val="12"/>
        <rFont val="Arial"/>
        <family val="2"/>
      </rPr>
      <t>b</t>
    </r>
    <r>
      <rPr>
        <sz val="12"/>
        <rFont val="Arial"/>
        <family val="2"/>
      </rPr>
      <t xml:space="preserve"> = 30%</t>
    </r>
  </si>
  <si>
    <r>
      <t>Farm efficiency (58.8%)</t>
    </r>
    <r>
      <rPr>
        <vertAlign val="superscript"/>
        <sz val="12"/>
        <rFont val="Arial"/>
        <family val="2"/>
      </rPr>
      <t>a</t>
    </r>
    <r>
      <rPr>
        <sz val="12"/>
        <rFont val="Arial"/>
        <family val="2"/>
      </rPr>
      <t xml:space="preserve"> multiplied by canal efficiency (75%)</t>
    </r>
    <r>
      <rPr>
        <vertAlign val="superscript"/>
        <sz val="12"/>
        <rFont val="Arial"/>
        <family val="2"/>
      </rPr>
      <t>b</t>
    </r>
    <r>
      <rPr>
        <sz val="12"/>
        <rFont val="Arial"/>
        <family val="2"/>
      </rPr>
      <t xml:space="preserve"> = 44.1%</t>
    </r>
  </si>
  <si>
    <r>
      <t>Farm efficiency (55%)</t>
    </r>
    <r>
      <rPr>
        <vertAlign val="superscript"/>
        <sz val="12"/>
        <rFont val="Arial"/>
        <family val="2"/>
      </rPr>
      <t>a</t>
    </r>
    <r>
      <rPr>
        <sz val="12"/>
        <rFont val="Arial"/>
        <family val="2"/>
      </rPr>
      <t xml:space="preserve"> multiplied by canal efficiency (75%)</t>
    </r>
    <r>
      <rPr>
        <vertAlign val="superscript"/>
        <sz val="12"/>
        <rFont val="Arial"/>
        <family val="2"/>
      </rPr>
      <t>b</t>
    </r>
    <r>
      <rPr>
        <sz val="12"/>
        <rFont val="Arial"/>
        <family val="2"/>
      </rPr>
      <t xml:space="preserve"> = 41%</t>
    </r>
  </si>
  <si>
    <r>
      <t>Farm efficiency (45%)</t>
    </r>
    <r>
      <rPr>
        <vertAlign val="superscript"/>
        <sz val="12"/>
        <rFont val="Arial"/>
        <family val="2"/>
      </rPr>
      <t>a</t>
    </r>
    <r>
      <rPr>
        <sz val="12"/>
        <rFont val="Arial"/>
        <family val="2"/>
      </rPr>
      <t xml:space="preserve"> multiplied by canal efficiency (75%)</t>
    </r>
    <r>
      <rPr>
        <vertAlign val="superscript"/>
        <sz val="12"/>
        <rFont val="Arial"/>
        <family val="2"/>
      </rPr>
      <t>b</t>
    </r>
    <r>
      <rPr>
        <sz val="12"/>
        <rFont val="Arial"/>
        <family val="2"/>
      </rPr>
      <t xml:space="preserve"> = 33.8%  (Upper Gila, except Bear Creek)</t>
    </r>
  </si>
  <si>
    <r>
      <t>Farm efficiency (50%)</t>
    </r>
    <r>
      <rPr>
        <vertAlign val="superscript"/>
        <sz val="12"/>
        <rFont val="Arial"/>
        <family val="2"/>
      </rPr>
      <t>a</t>
    </r>
    <r>
      <rPr>
        <sz val="12"/>
        <rFont val="Arial"/>
        <family val="2"/>
      </rPr>
      <t xml:space="preserve"> multiplied by canal efficiency (75%)</t>
    </r>
    <r>
      <rPr>
        <vertAlign val="superscript"/>
        <sz val="12"/>
        <rFont val="Arial"/>
        <family val="2"/>
      </rPr>
      <t>b</t>
    </r>
    <r>
      <rPr>
        <sz val="12"/>
        <rFont val="Arial"/>
        <family val="2"/>
      </rPr>
      <t xml:space="preserve"> = 37.5%</t>
    </r>
  </si>
  <si>
    <t>GSF-51S</t>
  </si>
  <si>
    <t>SS-109</t>
  </si>
  <si>
    <t>SS-119</t>
  </si>
  <si>
    <t>SS-25</t>
  </si>
  <si>
    <t>SS-2</t>
  </si>
  <si>
    <t>Diversions *</t>
  </si>
  <si>
    <t>January</t>
  </si>
  <si>
    <t>Discontinued Gage</t>
  </si>
  <si>
    <t>SS-108</t>
  </si>
  <si>
    <t>Sheep**</t>
  </si>
  <si>
    <t>Lake Roberts *</t>
  </si>
  <si>
    <t>Wall &amp; Snow  **</t>
  </si>
  <si>
    <t xml:space="preserve">Acres Irrigated </t>
  </si>
  <si>
    <r>
      <t xml:space="preserve">Farm efficiency 55%; </t>
    </r>
    <r>
      <rPr>
        <u val="single"/>
        <sz val="12"/>
        <rFont val="Arial"/>
        <family val="2"/>
      </rPr>
      <t xml:space="preserve">Water Use by Categories in New Mexico Counties and River Basins, and Irrigated Acreage in 1995, </t>
    </r>
    <r>
      <rPr>
        <sz val="12"/>
        <rFont val="Arial"/>
        <family val="2"/>
      </rPr>
      <t>Brian Wilson</t>
    </r>
  </si>
  <si>
    <t>AREA</t>
  </si>
  <si>
    <t>Cliff-Gila</t>
  </si>
  <si>
    <t>Fractional Shortage to CU</t>
  </si>
  <si>
    <t>reservoir  acres</t>
  </si>
  <si>
    <t>Crop Acres Diversion required for CU</t>
  </si>
  <si>
    <t>Total Short to CU</t>
  </si>
  <si>
    <t>Metered Diversions  -- Crop Acres and Reservoir Acres</t>
  </si>
  <si>
    <t>Total Diversion required for CU</t>
  </si>
  <si>
    <t xml:space="preserve">Precipitation (ft) </t>
  </si>
  <si>
    <t>ORIGINAL BLANEY-CRIDDLE ANNUAL WCIR</t>
  </si>
  <si>
    <t>MONTHLY CIR COMPUTED USING THE SCS MODIFIED BLANEY-CRIDDLE METHOD</t>
  </si>
  <si>
    <t>Kiehne &amp; Kiehne #2 Ditch</t>
  </si>
  <si>
    <t>crop acres</t>
  </si>
  <si>
    <t>total acres</t>
  </si>
  <si>
    <t>Deep Creek No. 1 Ditch</t>
  </si>
  <si>
    <t>Spurgeon No. 2 Ditch</t>
  </si>
  <si>
    <t>Thomason Flat Ditch</t>
  </si>
  <si>
    <t>Fish Pond Ditch/Lower Ditch North</t>
  </si>
  <si>
    <t>Average Area Monthly Pan *(0.8) Evaporation (ft)</t>
  </si>
  <si>
    <t xml:space="preserve">Acres Subject to Shortage </t>
  </si>
  <si>
    <t>Acres NOT Subject to Shortage**</t>
  </si>
  <si>
    <t>Acres Subject to Shortage</t>
  </si>
  <si>
    <r>
      <t>a</t>
    </r>
    <r>
      <rPr>
        <sz val="12"/>
        <rFont val="Arial"/>
        <family val="2"/>
      </rPr>
      <t xml:space="preserve"> Gila River Hydrographic Survey Report Volume 5; </t>
    </r>
    <r>
      <rPr>
        <vertAlign val="superscript"/>
        <sz val="12"/>
        <rFont val="Arial"/>
        <family val="2"/>
      </rPr>
      <t>b</t>
    </r>
    <r>
      <rPr>
        <sz val="12"/>
        <rFont val="Arial"/>
        <family val="2"/>
      </rPr>
      <t xml:space="preserve"> 1970 Arizona v. California Report backup computations</t>
    </r>
  </si>
  <si>
    <t>December</t>
  </si>
  <si>
    <t>pre-plant acres</t>
  </si>
  <si>
    <t>Northside Luna Ditch</t>
  </si>
  <si>
    <t>William S. Laney Ditch</t>
  </si>
  <si>
    <t>A. Laney Ditch</t>
  </si>
  <si>
    <t>Leslie Laney Ditch</t>
  </si>
  <si>
    <t>Reservoir Acres Diversion required for CU</t>
  </si>
  <si>
    <t>Middle Frisco Ditch</t>
  </si>
  <si>
    <t>San Francisco Ditch</t>
  </si>
  <si>
    <t>Hightower Ditch</t>
  </si>
  <si>
    <t>Lewis Ditch</t>
  </si>
  <si>
    <t>Cienega Ditch</t>
  </si>
  <si>
    <t>Gila Farms Ditch</t>
  </si>
  <si>
    <t>Fort West/Maldonado Ditch</t>
  </si>
  <si>
    <t>Upper Gila Ditch</t>
  </si>
  <si>
    <t>Gila Hot Springs Ditch</t>
  </si>
  <si>
    <t>Grandpa Harper - Wright Chavez Smith Ditch</t>
  </si>
  <si>
    <r>
      <t>a</t>
    </r>
    <r>
      <rPr>
        <sz val="12"/>
        <rFont val="Arial"/>
        <family val="2"/>
      </rPr>
      <t xml:space="preserve"> Gila River Hydrographic Survey Report Volume 8; </t>
    </r>
    <r>
      <rPr>
        <vertAlign val="superscript"/>
        <sz val="12"/>
        <rFont val="Arial"/>
        <family val="2"/>
      </rPr>
      <t>b</t>
    </r>
    <r>
      <rPr>
        <sz val="12"/>
        <rFont val="Arial"/>
        <family val="2"/>
      </rPr>
      <t xml:space="preserve"> 1970 Arizona v. California Report backup computations</t>
    </r>
  </si>
  <si>
    <t>Net Reservoir Evap (ft)</t>
  </si>
  <si>
    <t>Measured Diversions</t>
  </si>
  <si>
    <t>e1</t>
  </si>
  <si>
    <t>e2</t>
  </si>
  <si>
    <t xml:space="preserve"> e1 = farm efficiency X canal efficiency</t>
  </si>
  <si>
    <t xml:space="preserve"> e2 = farm efficiency (groundwater)</t>
  </si>
  <si>
    <t>Total Estimated Diversion (af)</t>
  </si>
  <si>
    <t>Full Supplied Crop Acres</t>
  </si>
  <si>
    <t>Estimated diversion to full supplied acres (af)</t>
  </si>
  <si>
    <t>Short Supplied Reservoir Acres</t>
  </si>
  <si>
    <t xml:space="preserve">Short Supplied Crop Acres </t>
  </si>
  <si>
    <t>Full Supplied Reservoir Acres</t>
  </si>
  <si>
    <t>Estimated diversion to short supplied acres (af)</t>
  </si>
  <si>
    <t>Full Season</t>
  </si>
  <si>
    <t>Pre-Plant</t>
  </si>
  <si>
    <t>is head-units outside Forest but within Gila Drainage in Grant County year-around</t>
  </si>
  <si>
    <t>Gila River Basin, Virden Valley</t>
  </si>
  <si>
    <t>Total stock use in the San Simon area</t>
  </si>
  <si>
    <t>Total stock use in the San Francisco River Basin</t>
  </si>
  <si>
    <t>Total stock use in the National Forest</t>
  </si>
  <si>
    <t>Total stock use outside the National Forest</t>
  </si>
  <si>
    <t>Total stock use in the Gila River Basin, Virden Valley</t>
  </si>
  <si>
    <t>Total stock use in the Gila River Basin above Virden Valley</t>
  </si>
  <si>
    <t>GSF-33:</t>
  </si>
  <si>
    <t>SS-10</t>
  </si>
  <si>
    <t>Diversion</t>
  </si>
  <si>
    <r>
      <t>Upper Gila area</t>
    </r>
    <r>
      <rPr>
        <vertAlign val="superscript"/>
        <sz val="9"/>
        <rFont val="Tahoma"/>
        <family val="2"/>
      </rPr>
      <t>1</t>
    </r>
  </si>
  <si>
    <r>
      <t>Cliff-Gila area</t>
    </r>
    <r>
      <rPr>
        <vertAlign val="superscript"/>
        <sz val="9"/>
        <rFont val="Tahoma"/>
        <family val="2"/>
      </rPr>
      <t>2</t>
    </r>
  </si>
  <si>
    <t>Lake Surface Evaporation</t>
  </si>
  <si>
    <t>Outside National Forest</t>
  </si>
  <si>
    <t xml:space="preserve">     Glenwood</t>
  </si>
  <si>
    <t>Total Consumptive Use</t>
  </si>
  <si>
    <t>Total Diversion</t>
  </si>
  <si>
    <t>GILA – SAN FRANCISCO &amp; SAN SIMON BASIN DIVERSIONS</t>
  </si>
  <si>
    <t>Gila – San Francisco estimated irrigation diversions for acreage served by non-metered diversions</t>
  </si>
  <si>
    <t xml:space="preserve"> </t>
  </si>
  <si>
    <t>CIR (ft)/e</t>
  </si>
  <si>
    <t>Crop acres diversion required for CU = crop acres * CIR / e;  Reservoir acres diversion required for CU = reservoir acres  * ( (monthly pan evap * 0.8) - precip)  /  e</t>
  </si>
  <si>
    <t>RESERVE</t>
  </si>
  <si>
    <t>UPPER GILA</t>
  </si>
  <si>
    <t>CLIFF - GILA</t>
  </si>
  <si>
    <t>LUNA</t>
  </si>
  <si>
    <t xml:space="preserve"> ** Acreage is subject to shortage, but full supply assumed</t>
  </si>
  <si>
    <t>Cliff-Gila-Redrock</t>
  </si>
  <si>
    <t xml:space="preserve"> Gila Hot Springs Station</t>
  </si>
  <si>
    <t>No. of tanks</t>
  </si>
  <si>
    <t>Evap/tank</t>
  </si>
  <si>
    <t>Total consumptive use in the San Francisco Basin:</t>
  </si>
  <si>
    <t>Total consumptive use in the Gila River Basin above Virden Valley:</t>
  </si>
  <si>
    <t>San Simon Creek</t>
  </si>
  <si>
    <t>Inside National Forest</t>
  </si>
  <si>
    <t>Gila River Basin (above Virden Valley)</t>
  </si>
  <si>
    <t>StockTank Evaporation</t>
  </si>
  <si>
    <t>LIVESTOCK POPULATION</t>
  </si>
  <si>
    <t>Subtotal</t>
  </si>
  <si>
    <t xml:space="preserve">    Total evaporation assuming 85% of tanks in service</t>
  </si>
  <si>
    <t>Gila River Basin exclusive of Virden Valley</t>
  </si>
  <si>
    <t>acre-feet/year</t>
  </si>
  <si>
    <t>Total reservoir evaporation exclusive of Virden Valley for the Gila River Basin:</t>
  </si>
  <si>
    <r>
      <t xml:space="preserve">CIR </t>
    </r>
    <r>
      <rPr>
        <sz val="10"/>
        <rFont val="Arial"/>
        <family val="2"/>
      </rPr>
      <t>(</t>
    </r>
    <r>
      <rPr>
        <sz val="8"/>
        <rFont val="Arial"/>
        <family val="2"/>
      </rPr>
      <t>af/acre)</t>
    </r>
  </si>
  <si>
    <t>Census 2000</t>
  </si>
  <si>
    <t>Average Water Surface Area (acres)</t>
  </si>
  <si>
    <t>Stock Tank Evaporation Rate (feet)</t>
  </si>
  <si>
    <t>Evaporation Loss Per Tank        (acre-feet)</t>
  </si>
  <si>
    <t>Gila River - exclusive of Virden Valley</t>
  </si>
  <si>
    <t>Decreed Acreage Arizona  v California</t>
  </si>
  <si>
    <r>
      <t xml:space="preserve">Gila River </t>
    </r>
    <r>
      <rPr>
        <sz val="8"/>
        <rFont val="Arial"/>
        <family val="2"/>
      </rPr>
      <t>upstream of Virden Valley</t>
    </r>
  </si>
  <si>
    <t xml:space="preserve">     Cliff-Gila,Redrock</t>
  </si>
  <si>
    <t>Total Short to Required Diversion</t>
  </si>
  <si>
    <t>Fractional Shortage to Diversion Required</t>
  </si>
  <si>
    <t>Shortage to CU</t>
  </si>
  <si>
    <t>Tota Crop &amp; Pond CU</t>
  </si>
  <si>
    <t>Total Irrigated CU</t>
  </si>
  <si>
    <t>Apache-Aragon*</t>
  </si>
  <si>
    <t>*  Subject to shortage but full supply assumed</t>
  </si>
  <si>
    <t>Additional measured discharge (ac-ft)</t>
  </si>
  <si>
    <t xml:space="preserve">   Total Surface</t>
  </si>
  <si>
    <t>GSF-39</t>
  </si>
  <si>
    <t xml:space="preserve">   Total Ground</t>
  </si>
  <si>
    <t>Adair Luna  Ditch</t>
  </si>
  <si>
    <t xml:space="preserve">CRP/natural grassland Acres </t>
  </si>
  <si>
    <t>Metered - CRP *</t>
  </si>
  <si>
    <t xml:space="preserve">Metered Diversion  </t>
  </si>
  <si>
    <t>CU Demand</t>
  </si>
  <si>
    <t>Non-Metered</t>
  </si>
  <si>
    <t>SS-6,6-S</t>
  </si>
  <si>
    <t>SS-4,SS-5</t>
  </si>
  <si>
    <t>8 Acres               E.T. Brown Fish Ponds (GSF-51)</t>
  </si>
  <si>
    <t>Div/CU in Commercial</t>
  </si>
  <si>
    <t>Head Cattle</t>
  </si>
  <si>
    <t>Head Months</t>
  </si>
  <si>
    <t>51% In the Gila Drainage:</t>
  </si>
  <si>
    <t>49% In the San Francisco Drainage:</t>
  </si>
  <si>
    <t>head in National Forest year-around</t>
  </si>
  <si>
    <t>Fish Pond Reservoir Evap (ac-ft) included in Cliff-Gila M&amp;I CU; GSF-51 diversion included in Cliff-Gila M&amp;I Diversion</t>
  </si>
  <si>
    <t>Municipal, Industrial, Domestic, Commercial</t>
  </si>
  <si>
    <t>Virden Valley **</t>
  </si>
  <si>
    <t>**  Partially metered</t>
  </si>
  <si>
    <t>Metered - CRP ****</t>
  </si>
  <si>
    <t>Metered- Full CIR **</t>
  </si>
  <si>
    <t>Acres NOT Subject to Shortage</t>
  </si>
  <si>
    <t>** Groundwater-supplied  metered diversion equals total depletion.</t>
  </si>
  <si>
    <t>GSF-46:</t>
  </si>
  <si>
    <r>
      <t>Total</t>
    </r>
    <r>
      <rPr>
        <sz val="10"/>
        <rFont val="Arial"/>
        <family val="0"/>
      </rPr>
      <t xml:space="preserve"> 10 Consecutive Years</t>
    </r>
  </si>
  <si>
    <r>
      <t xml:space="preserve">Max Decreed </t>
    </r>
    <r>
      <rPr>
        <sz val="10"/>
        <rFont val="Arial"/>
        <family val="0"/>
      </rPr>
      <t>10 Consecutive Years</t>
    </r>
  </si>
  <si>
    <t>Metered-full CIR</t>
  </si>
  <si>
    <t>Annual Use</t>
  </si>
  <si>
    <t>Decreed Use</t>
  </si>
  <si>
    <r>
      <t xml:space="preserve">        TOTAL</t>
    </r>
    <r>
      <rPr>
        <vertAlign val="superscript"/>
        <sz val="8"/>
        <rFont val="Arial"/>
        <family val="2"/>
      </rPr>
      <t>1</t>
    </r>
  </si>
  <si>
    <r>
      <t>1</t>
    </r>
    <r>
      <rPr>
        <sz val="10"/>
        <rFont val="Arial"/>
        <family val="2"/>
      </rPr>
      <t>Includes</t>
    </r>
  </si>
  <si>
    <t>Note hidden columns F,G,H,I</t>
  </si>
  <si>
    <t>AGRICULTURE</t>
  </si>
  <si>
    <t>Acres NOT Subject to Shortage***</t>
  </si>
  <si>
    <t>Municipal, Industrial &amp; Domestic</t>
  </si>
  <si>
    <t>Weighted CIR - in</t>
  </si>
  <si>
    <t>GSF-10:</t>
  </si>
  <si>
    <t>Estimated from partial data.</t>
  </si>
  <si>
    <t xml:space="preserve"> **** Acreage &amp; associated diversion from GSF-2443 and GSF-46 suggest conservation watering only.  This acreage is assumed to be CRP or like condition and groundwater-supplied metered diversion equals total depletion.</t>
  </si>
  <si>
    <t>reservoir acres</t>
  </si>
  <si>
    <t xml:space="preserve"> * In some years, some well records indicate a minimal amount of irrigation of the associated acreage.  This acreage is assumed to be CRP or like condition and groundwater-supplied metered diversion equals total depletion.</t>
  </si>
  <si>
    <t>GSF-58</t>
  </si>
  <si>
    <t>** Groundwater-supplied not metered; full supply assumed</t>
  </si>
  <si>
    <t>is head-units outside Forest but within San Francisco Drainage in Catron County year-around</t>
  </si>
  <si>
    <t>Reservoirs with small amounts of evaporation exceeding precipitation during winter were assumed to have no shortage in those months, despite the lack of diversion data for that period.</t>
  </si>
  <si>
    <t>Daily diversion records were used to assess whether a shortage condition truly existed in months for which only partial daily data were available, e.g. spring and fall at data logger startup/shutdown.</t>
  </si>
  <si>
    <t>Freeport McMoRan</t>
  </si>
  <si>
    <t>Gila National Forest, Gila/San Francisco watershed only***</t>
  </si>
  <si>
    <t>* Estimated for Conner-Knox, McDaniel, and Toney Ditches, and misc. ac.</t>
  </si>
  <si>
    <r>
      <t>2</t>
    </r>
    <r>
      <rPr>
        <sz val="9"/>
        <rFont val="Tahoma"/>
        <family val="2"/>
      </rPr>
      <t xml:space="preserve">  Cliff-Gila area consumptive use includes Freeport-McMoRan evaporation on Bill Evans Lake.  Remaining Bill Evans Lake evap is charged to NM Game &amp; Fish and is included under Lake Surface Evaporation.  </t>
    </r>
  </si>
  <si>
    <t>**Groundwater supplied</t>
  </si>
  <si>
    <t>** Groundwater supplied</t>
  </si>
  <si>
    <t>*** Groundwater supplied</t>
  </si>
  <si>
    <r>
      <t>1</t>
    </r>
    <r>
      <rPr>
        <i/>
        <sz val="10"/>
        <rFont val="Arial"/>
        <family val="2"/>
      </rPr>
      <t xml:space="preserve"> Freeport-McMoRan provided data</t>
    </r>
  </si>
  <si>
    <t>Reservoir Evap. minus Precip.      (ac-ft)</t>
  </si>
  <si>
    <t>GSF-25, 25-S, 25-S-2</t>
  </si>
  <si>
    <t>GSF-71S</t>
  </si>
  <si>
    <t>* Estimated for Northside Beaver, Swap, and Minnie Reynolds Ditches, and misc. ac.</t>
  </si>
  <si>
    <t>* Estimated for Jiron, North, and South Ditches, and misc ac.</t>
  </si>
  <si>
    <t>* Estimated for Balke, Jones, Lower Frisco, Romero-Cordovas, Wiggins, McCargish Spg, Negrito Cr, SU Canyon, Tularosa Rv, and misc ac.</t>
  </si>
  <si>
    <t>* Estimated for Big Dry Cr, Groves, Jackson, Mineral Cr, Mule Cr, Oaks, Sluice, Spurgeon #1, Tipton Gage, and Warden Ditches, and misc ac.</t>
  </si>
  <si>
    <t>* Estimated for Bell, Carlson, Clark/Sycamore, Howard, Moss, and Provencio Ditches, and misc ac.</t>
  </si>
  <si>
    <t>* Estimated for Clark Ditches, Ea Fork Gila River, Heart Bar Ditch, and Mid Fork Gila River.</t>
  </si>
  <si>
    <t>The listed irrigation diversion amounts do not include non-consumptive diversions made outside of the irrigation season.</t>
  </si>
  <si>
    <t>VV-4,4-S</t>
  </si>
  <si>
    <t>VV-13-S</t>
  </si>
  <si>
    <t>VV-24-POD3</t>
  </si>
  <si>
    <t>Note:  Virden Valley estimated diversion is reduced by VV-4, VV-4-S, VV-13-S, &amp; VV-24-POD3 totalizer amounts, if any.</t>
  </si>
  <si>
    <t>Measured Discharge (AF)</t>
  </si>
  <si>
    <t>Precipitation (inches) : Gila Hot Springs</t>
  </si>
  <si>
    <t>*  Precipitation values from Gila Hot Springs Weather Station</t>
  </si>
  <si>
    <t>** Precipitation values from Gila Hot Springs Weather Station adjusted up 25%</t>
  </si>
  <si>
    <t>GSF-7</t>
  </si>
  <si>
    <t>Tyrone Wells diversion under 02260</t>
  </si>
  <si>
    <t>Tyrone diversion under GSF-85</t>
  </si>
  <si>
    <t>Seepage credit from Bill Evans Dam</t>
  </si>
  <si>
    <t>Diversion from Evans Reservoir to Mine</t>
  </si>
  <si>
    <t>Diversion for T-irrigation</t>
  </si>
  <si>
    <t>Consumptive Use for T-irrigation</t>
  </si>
  <si>
    <t>T-13/USFS diversion</t>
  </si>
  <si>
    <r>
      <t>Evaporation from Bill Evans Reservoir</t>
    </r>
    <r>
      <rPr>
        <vertAlign val="superscript"/>
        <sz val="10"/>
        <rFont val="Arial"/>
        <family val="2"/>
      </rPr>
      <t>2</t>
    </r>
  </si>
  <si>
    <r>
      <t>2</t>
    </r>
    <r>
      <rPr>
        <i/>
        <sz val="10"/>
        <rFont val="Arial"/>
        <family val="2"/>
      </rPr>
      <t xml:space="preserve"> The first 205.28 af of Evans Reservoir evap is assigned to NM Game &amp; Fish</t>
    </r>
  </si>
  <si>
    <t>Bill Evans Lake (NM Game &amp; Fish evap) ***</t>
  </si>
  <si>
    <t>*** Bill Evans Lake evaporation above 205.28 af is assigned to Freeport-McMoRan</t>
  </si>
  <si>
    <t xml:space="preserve">Freeport-McMoRan </t>
  </si>
  <si>
    <t>Diversion &amp; Consumptive Use Accounting</t>
  </si>
  <si>
    <t>GSF-20:</t>
  </si>
  <si>
    <t>SS-3</t>
  </si>
  <si>
    <r>
      <t>1</t>
    </r>
    <r>
      <rPr>
        <sz val="9"/>
        <rFont val="Tahoma"/>
        <family val="2"/>
      </rPr>
      <t xml:space="preserve">   Upper Gila diversion includes </t>
    </r>
    <r>
      <rPr>
        <sz val="9"/>
        <color indexed="17"/>
        <rFont val="Tahoma"/>
        <family val="2"/>
      </rPr>
      <t>94.87</t>
    </r>
    <r>
      <rPr>
        <sz val="9"/>
        <rFont val="Tahoma"/>
        <family val="2"/>
      </rPr>
      <t xml:space="preserve"> af for non-consumptive geothermal use</t>
    </r>
  </si>
  <si>
    <r>
      <t xml:space="preserve">af of consumptive industrial use by Freeport-McMoRan and </t>
    </r>
    <r>
      <rPr>
        <sz val="10"/>
        <color indexed="17"/>
        <rFont val="Arial"/>
        <family val="2"/>
      </rPr>
      <t>890</t>
    </r>
    <r>
      <rPr>
        <sz val="10"/>
        <rFont val="Arial"/>
        <family val="0"/>
      </rPr>
      <t xml:space="preserve"> af exported to the Mimbres Basin for municipal use by Silver City</t>
    </r>
  </si>
  <si>
    <t xml:space="preserve"> * National Agricultural Statistics Service website www.nass.usda.gov/Statistics_by_State/New_Mexico/index.php.  See Publications: Annual Statistical Bulletin.</t>
  </si>
  <si>
    <r>
      <t xml:space="preserve">** Estimated.  National Agricultural Statistics Service reports </t>
    </r>
    <r>
      <rPr>
        <sz val="6"/>
        <color indexed="17"/>
        <rFont val="Tahoma"/>
        <family val="2"/>
      </rPr>
      <t>1200</t>
    </r>
    <r>
      <rPr>
        <sz val="6"/>
        <rFont val="Tahoma"/>
        <family val="2"/>
      </rPr>
      <t xml:space="preserve"> sheep for Grant, Catron, Hidalgo, Luna, Sierra, and Socorro counties combined (District 70).  Most recent estimate: </t>
    </r>
    <r>
      <rPr>
        <sz val="6"/>
        <color indexed="17"/>
        <rFont val="Tahoma"/>
        <family val="2"/>
      </rPr>
      <t>2011</t>
    </r>
    <r>
      <rPr>
        <sz val="6"/>
        <rFont val="Tahoma"/>
        <family val="2"/>
      </rPr>
      <t>.</t>
    </r>
  </si>
  <si>
    <r>
      <t xml:space="preserve">is 53% of </t>
    </r>
    <r>
      <rPr>
        <sz val="9"/>
        <color indexed="17"/>
        <rFont val="Tahoma"/>
        <family val="2"/>
      </rPr>
      <t>26,000</t>
    </r>
    <r>
      <rPr>
        <sz val="9"/>
        <rFont val="Tahoma"/>
        <family val="2"/>
      </rPr>
      <t xml:space="preserve"> head of cattle</t>
    </r>
  </si>
  <si>
    <r>
      <t xml:space="preserve">is 53% of </t>
    </r>
    <r>
      <rPr>
        <sz val="9"/>
        <color indexed="17"/>
        <rFont val="Tahoma"/>
        <family val="2"/>
      </rPr>
      <t>48</t>
    </r>
    <r>
      <rPr>
        <sz val="9"/>
        <rFont val="Tahoma"/>
        <family val="2"/>
      </rPr>
      <t xml:space="preserve"> head of sheep</t>
    </r>
  </si>
  <si>
    <r>
      <t xml:space="preserve">is 6% of </t>
    </r>
    <r>
      <rPr>
        <sz val="9"/>
        <color indexed="17"/>
        <rFont val="Tahoma"/>
        <family val="2"/>
      </rPr>
      <t>26,000</t>
    </r>
    <r>
      <rPr>
        <sz val="9"/>
        <rFont val="Tahoma"/>
        <family val="2"/>
      </rPr>
      <t xml:space="preserve"> head of cattle</t>
    </r>
  </si>
  <si>
    <r>
      <t xml:space="preserve">is 6% of </t>
    </r>
    <r>
      <rPr>
        <sz val="9"/>
        <color indexed="17"/>
        <rFont val="Tahoma"/>
        <family val="2"/>
      </rPr>
      <t>209</t>
    </r>
    <r>
      <rPr>
        <sz val="9"/>
        <rFont val="Tahoma"/>
        <family val="2"/>
      </rPr>
      <t xml:space="preserve"> head of sheep</t>
    </r>
  </si>
  <si>
    <r>
      <t xml:space="preserve">is 7% of </t>
    </r>
    <r>
      <rPr>
        <sz val="9"/>
        <color indexed="17"/>
        <rFont val="Tahoma"/>
        <family val="2"/>
      </rPr>
      <t>26,000</t>
    </r>
    <r>
      <rPr>
        <sz val="9"/>
        <rFont val="Tahoma"/>
        <family val="2"/>
      </rPr>
      <t xml:space="preserve"> head of cattle</t>
    </r>
  </si>
  <si>
    <r>
      <t xml:space="preserve">is 7% of </t>
    </r>
    <r>
      <rPr>
        <sz val="9"/>
        <color indexed="17"/>
        <rFont val="Tahoma"/>
        <family val="2"/>
      </rPr>
      <t>209</t>
    </r>
    <r>
      <rPr>
        <sz val="9"/>
        <rFont val="Tahoma"/>
        <family val="2"/>
      </rPr>
      <t xml:space="preserve"> sheep</t>
    </r>
  </si>
  <si>
    <r>
      <t xml:space="preserve">is 41% of </t>
    </r>
    <r>
      <rPr>
        <sz val="9"/>
        <color indexed="17"/>
        <rFont val="Tahoma"/>
        <family val="2"/>
      </rPr>
      <t>25,500</t>
    </r>
    <r>
      <rPr>
        <sz val="9"/>
        <rFont val="Tahoma"/>
        <family val="2"/>
      </rPr>
      <t xml:space="preserve"> head of cattle</t>
    </r>
  </si>
  <si>
    <r>
      <t xml:space="preserve">is 41% of </t>
    </r>
    <r>
      <rPr>
        <sz val="9"/>
        <color indexed="17"/>
        <rFont val="Tahoma"/>
        <family val="2"/>
      </rPr>
      <t>72</t>
    </r>
    <r>
      <rPr>
        <sz val="9"/>
        <rFont val="Tahoma"/>
        <family val="2"/>
      </rPr>
      <t xml:space="preserve"> sheep</t>
    </r>
  </si>
  <si>
    <r>
      <t xml:space="preserve">Table I.  Acreage Survey </t>
    </r>
    <r>
      <rPr>
        <b/>
        <sz val="12"/>
        <color indexed="17"/>
        <rFont val="Arial"/>
        <family val="2"/>
      </rPr>
      <t>2014</t>
    </r>
  </si>
  <si>
    <r>
      <t xml:space="preserve">Table II.  Annual Consumptive Use </t>
    </r>
    <r>
      <rPr>
        <b/>
        <sz val="12"/>
        <color indexed="17"/>
        <rFont val="Arial"/>
        <family val="2"/>
      </rPr>
      <t>2014</t>
    </r>
    <r>
      <rPr>
        <b/>
        <sz val="12"/>
        <rFont val="Arial"/>
        <family val="2"/>
      </rPr>
      <t xml:space="preserve">  </t>
    </r>
    <r>
      <rPr>
        <b/>
        <sz val="10"/>
        <rFont val="Arial"/>
        <family val="2"/>
      </rPr>
      <t>(Units: Acre-Feet)</t>
    </r>
  </si>
  <si>
    <r>
      <t xml:space="preserve">Table III.  Consumptive Use for the Period of Ten Consecutive Years, </t>
    </r>
    <r>
      <rPr>
        <b/>
        <sz val="12"/>
        <color indexed="17"/>
        <rFont val="Arial"/>
        <family val="2"/>
      </rPr>
      <t>2005-2014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>(Units: Acre-Feet)</t>
    </r>
  </si>
  <si>
    <r>
      <t xml:space="preserve">Table IV.  Diversions </t>
    </r>
    <r>
      <rPr>
        <b/>
        <sz val="12"/>
        <color indexed="17"/>
        <rFont val="Arial"/>
        <family val="2"/>
      </rPr>
      <t>2014</t>
    </r>
    <r>
      <rPr>
        <b/>
        <sz val="12"/>
        <rFont val="Arial"/>
        <family val="2"/>
      </rPr>
      <t xml:space="preserve">  </t>
    </r>
    <r>
      <rPr>
        <b/>
        <sz val="10"/>
        <rFont val="Arial"/>
        <family val="2"/>
      </rPr>
      <t>(Units: Acre-Feet)</t>
    </r>
  </si>
  <si>
    <r>
      <t xml:space="preserve">Consumptive Irrigation Requirements </t>
    </r>
    <r>
      <rPr>
        <b/>
        <sz val="12"/>
        <color indexed="17"/>
        <rFont val="Arial"/>
        <family val="2"/>
      </rPr>
      <t>2014</t>
    </r>
  </si>
  <si>
    <r>
      <t xml:space="preserve">Estimated Livestock Population </t>
    </r>
    <r>
      <rPr>
        <b/>
        <sz val="12"/>
        <color indexed="17"/>
        <rFont val="Arial"/>
        <family val="2"/>
      </rPr>
      <t>2014</t>
    </r>
  </si>
  <si>
    <r>
      <t xml:space="preserve">Estimated Domestic Use Population </t>
    </r>
    <r>
      <rPr>
        <b/>
        <sz val="12"/>
        <color indexed="17"/>
        <rFont val="Arial"/>
        <family val="2"/>
      </rPr>
      <t>2014</t>
    </r>
  </si>
  <si>
    <r>
      <t xml:space="preserve">Stock Tank Evaporative Loss Data </t>
    </r>
    <r>
      <rPr>
        <b/>
        <sz val="12"/>
        <color indexed="17"/>
        <rFont val="Arial"/>
        <family val="2"/>
      </rPr>
      <t>2014</t>
    </r>
  </si>
  <si>
    <t>*** per Gila National Forest.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</si>
</sst>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  <numFmt numFmtId="169" formatCode="#,##0.000"/>
    <numFmt numFmtId="170" formatCode="#,##0.0"/>
    <numFmt numFmtId="171" formatCode="0.00_)"/>
    <numFmt numFmtId="172" formatCode="0.0_)"/>
    <numFmt numFmtId="173" formatCode="00000"/>
    <numFmt numFmtId="174" formatCode="0.0000"/>
    <numFmt numFmtId="175" formatCode="0.000000000000"/>
    <numFmt numFmtId="176" formatCode="0.00000"/>
    <numFmt numFmtId="177" formatCode="0.000000"/>
    <numFmt numFmtId="178" formatCode="_(* #,##0.0_);_(* \(#,##0.0\);_(* &quot;-&quot;??_);_(@_)"/>
    <numFmt numFmtId="179" formatCode="_(* #,##0_);_(* \(#,##0\);_(* &quot;-&quot;??_);_(@_)"/>
    <numFmt numFmtId="180" formatCode="[$-409]dddd\,\ mmmm\ dd\,\ yyyy"/>
    <numFmt numFmtId="181" formatCode="[$-409]h:mm:ss\ AM/PM"/>
    <numFmt numFmtId="182" formatCode="[$€-2]\ #,##0.00_);[Red]\([$€-2]\ #,##0.00\)"/>
    <numFmt numFmtId="183" formatCode="_(* #,##0.000_);_(* \(#,##0.000\);_(* &quot;-&quot;??_);_(@_)"/>
  </numFmts>
  <fonts count="9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Tahoma"/>
      <family val="2"/>
    </font>
    <font>
      <b/>
      <sz val="10"/>
      <name val="Tahoma"/>
      <family val="2"/>
    </font>
    <font>
      <u val="single"/>
      <sz val="10"/>
      <color indexed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u val="single"/>
      <sz val="9"/>
      <name val="Tahoma"/>
      <family val="2"/>
    </font>
    <font>
      <b/>
      <u val="single"/>
      <sz val="9"/>
      <name val="Tahoma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sz val="10"/>
      <name val="Tahoma"/>
      <family val="2"/>
    </font>
    <font>
      <sz val="6"/>
      <name val="Tahoma"/>
      <family val="2"/>
    </font>
    <font>
      <sz val="12"/>
      <name val="Arial"/>
      <family val="2"/>
    </font>
    <font>
      <sz val="14"/>
      <name val="Arial"/>
      <family val="2"/>
    </font>
    <font>
      <vertAlign val="superscript"/>
      <sz val="10"/>
      <name val="Arial"/>
      <family val="2"/>
    </font>
    <font>
      <vertAlign val="superscript"/>
      <sz val="12"/>
      <name val="Arial"/>
      <family val="2"/>
    </font>
    <font>
      <b/>
      <sz val="8"/>
      <name val="Arial"/>
      <family val="2"/>
    </font>
    <font>
      <u val="single"/>
      <sz val="12"/>
      <name val="Arial"/>
      <family val="2"/>
    </font>
    <font>
      <i/>
      <sz val="12"/>
      <name val="Arial"/>
      <family val="2"/>
    </font>
    <font>
      <sz val="8"/>
      <name val="Tahoma"/>
      <family val="2"/>
    </font>
    <font>
      <b/>
      <i/>
      <sz val="10"/>
      <name val="Tahoma"/>
      <family val="2"/>
    </font>
    <font>
      <vertAlign val="superscript"/>
      <sz val="9"/>
      <name val="Tahoma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b/>
      <sz val="9"/>
      <name val="Arial"/>
      <family val="2"/>
    </font>
    <font>
      <i/>
      <sz val="9"/>
      <name val="Tahoma"/>
      <family val="2"/>
    </font>
    <font>
      <b/>
      <i/>
      <sz val="12"/>
      <name val="Arial"/>
      <family val="2"/>
    </font>
    <font>
      <sz val="11"/>
      <name val="Arial"/>
      <family val="2"/>
    </font>
    <font>
      <sz val="7"/>
      <name val="Arial"/>
      <family val="2"/>
    </font>
    <font>
      <sz val="14"/>
      <color indexed="16"/>
      <name val="Arial"/>
      <family val="2"/>
    </font>
    <font>
      <vertAlign val="superscript"/>
      <sz val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6"/>
      <color indexed="10"/>
      <name val="Tahoma"/>
      <family val="2"/>
    </font>
    <font>
      <sz val="12"/>
      <color indexed="57"/>
      <name val="Arial"/>
      <family val="2"/>
    </font>
    <font>
      <sz val="12"/>
      <color indexed="20"/>
      <name val="Arial"/>
      <family val="2"/>
    </font>
    <font>
      <sz val="12"/>
      <color indexed="48"/>
      <name val="Arial"/>
      <family val="2"/>
    </font>
    <font>
      <sz val="12"/>
      <color indexed="17"/>
      <name val="Arial"/>
      <family val="2"/>
    </font>
    <font>
      <sz val="9"/>
      <color indexed="17"/>
      <name val="Tahoma"/>
      <family val="2"/>
    </font>
    <font>
      <sz val="10"/>
      <color indexed="17"/>
      <name val="Arial"/>
      <family val="2"/>
    </font>
    <font>
      <b/>
      <sz val="12"/>
      <color indexed="17"/>
      <name val="Arial"/>
      <family val="2"/>
    </font>
    <font>
      <sz val="6"/>
      <color indexed="17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sz val="7"/>
      <color indexed="17"/>
      <name val="Tahoma"/>
      <family val="2"/>
    </font>
    <font>
      <b/>
      <sz val="9"/>
      <color indexed="17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2"/>
      <color rgb="FF00B050"/>
      <name val="Arial"/>
      <family val="2"/>
    </font>
    <font>
      <sz val="10"/>
      <color rgb="FF00B050"/>
      <name val="Arial"/>
      <family val="2"/>
    </font>
    <font>
      <sz val="11"/>
      <color rgb="FF00B050"/>
      <name val="Calibri"/>
      <family val="2"/>
    </font>
    <font>
      <sz val="9"/>
      <color rgb="FF00B050"/>
      <name val="Tahoma"/>
      <family val="2"/>
    </font>
    <font>
      <sz val="7"/>
      <color rgb="FF00B050"/>
      <name val="Tahoma"/>
      <family val="2"/>
    </font>
    <font>
      <b/>
      <sz val="12"/>
      <color rgb="FF00B050"/>
      <name val="Arial"/>
      <family val="2"/>
    </font>
    <font>
      <b/>
      <sz val="9"/>
      <color rgb="FF00B050"/>
      <name val="Tahoma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fgColor indexed="31"/>
        <bgColor indexed="43"/>
      </patternFill>
    </fill>
    <fill>
      <patternFill patternType="gray0625">
        <fgColor rgb="FFCCCCFF"/>
        <bgColor rgb="FFFFFF99"/>
      </patternFill>
    </fill>
    <fill>
      <patternFill patternType="gray0625">
        <fgColor indexed="31"/>
        <bgColor rgb="FFFFCC99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415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7" fillId="0" borderId="0" xfId="0" applyFont="1" applyAlignment="1">
      <alignment/>
    </xf>
    <xf numFmtId="0" fontId="10" fillId="0" borderId="0" xfId="0" applyFont="1" applyAlignment="1">
      <alignment horizontal="right"/>
    </xf>
    <xf numFmtId="2" fontId="10" fillId="0" borderId="0" xfId="0" applyNumberFormat="1" applyFont="1" applyAlignment="1">
      <alignment horizontal="right"/>
    </xf>
    <xf numFmtId="49" fontId="10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0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2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33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2" fontId="10" fillId="0" borderId="0" xfId="0" applyNumberFormat="1" applyFont="1" applyFill="1" applyAlignment="1">
      <alignment horizontal="right"/>
    </xf>
    <xf numFmtId="167" fontId="10" fillId="0" borderId="0" xfId="0" applyNumberFormat="1" applyFont="1" applyFill="1" applyAlignment="1">
      <alignment/>
    </xf>
    <xf numFmtId="167" fontId="10" fillId="0" borderId="0" xfId="0" applyNumberFormat="1" applyFont="1" applyAlignment="1">
      <alignment/>
    </xf>
    <xf numFmtId="0" fontId="1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6" fillId="0" borderId="0" xfId="0" applyFont="1" applyAlignment="1">
      <alignment/>
    </xf>
    <xf numFmtId="2" fontId="10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2" fontId="4" fillId="0" borderId="0" xfId="0" applyNumberFormat="1" applyFont="1" applyFill="1" applyAlignment="1">
      <alignment horizontal="center"/>
    </xf>
    <xf numFmtId="0" fontId="17" fillId="0" borderId="0" xfId="0" applyFont="1" applyAlignment="1">
      <alignment/>
    </xf>
    <xf numFmtId="2" fontId="17" fillId="0" borderId="0" xfId="0" applyNumberFormat="1" applyFont="1" applyAlignment="1">
      <alignment/>
    </xf>
    <xf numFmtId="0" fontId="4" fillId="0" borderId="0" xfId="0" applyFont="1" applyAlignment="1">
      <alignment/>
    </xf>
    <xf numFmtId="0" fontId="17" fillId="0" borderId="0" xfId="0" applyFont="1" applyFill="1" applyAlignment="1">
      <alignment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2" fontId="1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2" fontId="4" fillId="0" borderId="0" xfId="0" applyNumberFormat="1" applyFont="1" applyFill="1" applyAlignment="1">
      <alignment horizontal="right"/>
    </xf>
    <xf numFmtId="2" fontId="17" fillId="0" borderId="0" xfId="0" applyNumberFormat="1" applyFont="1" applyFill="1" applyAlignment="1">
      <alignment/>
    </xf>
    <xf numFmtId="2" fontId="4" fillId="0" borderId="0" xfId="0" applyNumberFormat="1" applyFont="1" applyFill="1" applyBorder="1" applyAlignment="1">
      <alignment/>
    </xf>
    <xf numFmtId="49" fontId="17" fillId="0" borderId="0" xfId="0" applyNumberFormat="1" applyFont="1" applyFill="1" applyAlignment="1">
      <alignment/>
    </xf>
    <xf numFmtId="49" fontId="17" fillId="0" borderId="0" xfId="0" applyNumberFormat="1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right"/>
    </xf>
    <xf numFmtId="2" fontId="17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right"/>
    </xf>
    <xf numFmtId="2" fontId="17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17" fillId="0" borderId="0" xfId="0" applyNumberFormat="1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2" fontId="5" fillId="0" borderId="0" xfId="0" applyNumberFormat="1" applyFont="1" applyFill="1" applyAlignment="1">
      <alignment horizontal="justify"/>
    </xf>
    <xf numFmtId="2" fontId="5" fillId="0" borderId="0" xfId="0" applyNumberFormat="1" applyFont="1" applyFill="1" applyAlignment="1">
      <alignment/>
    </xf>
    <xf numFmtId="2" fontId="17" fillId="0" borderId="0" xfId="0" applyNumberFormat="1" applyFont="1" applyFill="1" applyBorder="1" applyAlignment="1">
      <alignment/>
    </xf>
    <xf numFmtId="168" fontId="4" fillId="0" borderId="0" xfId="0" applyNumberFormat="1" applyFont="1" applyFill="1" applyAlignment="1">
      <alignment horizontal="right"/>
    </xf>
    <xf numFmtId="0" fontId="0" fillId="0" borderId="0" xfId="0" applyAlignment="1">
      <alignment horizontal="center" wrapText="1"/>
    </xf>
    <xf numFmtId="2" fontId="4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0" fontId="19" fillId="0" borderId="0" xfId="0" applyFont="1" applyAlignment="1">
      <alignment/>
    </xf>
    <xf numFmtId="1" fontId="19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1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5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 horizontal="justify"/>
    </xf>
    <xf numFmtId="0" fontId="4" fillId="0" borderId="0" xfId="0" applyFont="1" applyFill="1" applyAlignment="1">
      <alignment horizontal="justify"/>
    </xf>
    <xf numFmtId="41" fontId="0" fillId="0" borderId="0" xfId="0" applyNumberFormat="1" applyAlignment="1">
      <alignment/>
    </xf>
    <xf numFmtId="3" fontId="17" fillId="0" borderId="0" xfId="0" applyNumberFormat="1" applyFont="1" applyFill="1" applyAlignment="1">
      <alignment horizontal="right"/>
    </xf>
    <xf numFmtId="0" fontId="17" fillId="0" borderId="0" xfId="0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>
      <alignment wrapText="1"/>
    </xf>
    <xf numFmtId="2" fontId="0" fillId="0" borderId="0" xfId="0" applyNumberFormat="1" applyFont="1" applyFill="1" applyBorder="1" applyAlignment="1">
      <alignment/>
    </xf>
    <xf numFmtId="0" fontId="6" fillId="0" borderId="0" xfId="0" applyFont="1" applyAlignment="1">
      <alignment horizontal="justify"/>
    </xf>
    <xf numFmtId="167" fontId="15" fillId="0" borderId="0" xfId="0" applyNumberFormat="1" applyFont="1" applyFill="1" applyAlignment="1">
      <alignment/>
    </xf>
    <xf numFmtId="167" fontId="9" fillId="0" borderId="0" xfId="0" applyNumberFormat="1" applyFont="1" applyAlignment="1">
      <alignment horizontal="left"/>
    </xf>
    <xf numFmtId="167" fontId="9" fillId="0" borderId="0" xfId="0" applyNumberFormat="1" applyFont="1" applyAlignment="1">
      <alignment/>
    </xf>
    <xf numFmtId="167" fontId="9" fillId="0" borderId="0" xfId="0" applyNumberFormat="1" applyFont="1" applyFill="1" applyAlignment="1">
      <alignment/>
    </xf>
    <xf numFmtId="168" fontId="4" fillId="0" borderId="0" xfId="0" applyNumberFormat="1" applyFont="1" applyFill="1" applyAlignment="1">
      <alignment/>
    </xf>
    <xf numFmtId="168" fontId="4" fillId="0" borderId="0" xfId="0" applyNumberFormat="1" applyFont="1" applyFill="1" applyBorder="1" applyAlignment="1">
      <alignment/>
    </xf>
    <xf numFmtId="2" fontId="20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10" fillId="0" borderId="0" xfId="0" applyFont="1" applyAlignment="1" quotePrefix="1">
      <alignment horizontal="left"/>
    </xf>
    <xf numFmtId="0" fontId="0" fillId="0" borderId="0" xfId="0" applyFont="1" applyAlignment="1">
      <alignment/>
    </xf>
    <xf numFmtId="167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167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17" fontId="0" fillId="0" borderId="0" xfId="0" applyNumberFormat="1" applyAlignment="1">
      <alignment/>
    </xf>
    <xf numFmtId="0" fontId="23" fillId="0" borderId="0" xfId="0" applyFont="1" applyFill="1" applyAlignment="1">
      <alignment/>
    </xf>
    <xf numFmtId="0" fontId="2" fillId="0" borderId="0" xfId="0" applyFont="1" applyFill="1" applyAlignment="1" quotePrefix="1">
      <alignment/>
    </xf>
    <xf numFmtId="0" fontId="10" fillId="0" borderId="0" xfId="0" applyFont="1" applyAlignment="1">
      <alignment wrapText="1"/>
    </xf>
    <xf numFmtId="2" fontId="17" fillId="0" borderId="0" xfId="0" applyNumberFormat="1" applyFont="1" applyAlignment="1">
      <alignment horizontal="right"/>
    </xf>
    <xf numFmtId="2" fontId="5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2" fontId="17" fillId="34" borderId="0" xfId="0" applyNumberFormat="1" applyFont="1" applyFill="1" applyBorder="1" applyAlignment="1">
      <alignment/>
    </xf>
    <xf numFmtId="2" fontId="17" fillId="0" borderId="0" xfId="0" applyNumberFormat="1" applyFont="1" applyBorder="1" applyAlignment="1">
      <alignment/>
    </xf>
    <xf numFmtId="2" fontId="4" fillId="0" borderId="0" xfId="0" applyNumberFormat="1" applyFont="1" applyFill="1" applyBorder="1" applyAlignment="1" quotePrefix="1">
      <alignment/>
    </xf>
    <xf numFmtId="0" fontId="4" fillId="0" borderId="0" xfId="0" applyFont="1" applyBorder="1" applyAlignment="1">
      <alignment/>
    </xf>
    <xf numFmtId="2" fontId="17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textRotation="90" wrapText="1"/>
    </xf>
    <xf numFmtId="2" fontId="20" fillId="0" borderId="0" xfId="0" applyNumberFormat="1" applyFont="1" applyBorder="1" applyAlignment="1">
      <alignment/>
    </xf>
    <xf numFmtId="0" fontId="17" fillId="0" borderId="0" xfId="0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right"/>
    </xf>
    <xf numFmtId="2" fontId="17" fillId="0" borderId="0" xfId="0" applyNumberFormat="1" applyFont="1" applyBorder="1" applyAlignment="1">
      <alignment horizontal="right"/>
    </xf>
    <xf numFmtId="2" fontId="17" fillId="0" borderId="0" xfId="0" applyNumberFormat="1" applyFont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 textRotation="90" wrapText="1"/>
    </xf>
    <xf numFmtId="2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 textRotation="90" wrapText="1"/>
    </xf>
    <xf numFmtId="2" fontId="0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textRotation="90" wrapText="1"/>
    </xf>
    <xf numFmtId="2" fontId="1" fillId="0" borderId="0" xfId="0" applyNumberFormat="1" applyFont="1" applyFill="1" applyBorder="1" applyAlignment="1">
      <alignment wrapText="1"/>
    </xf>
    <xf numFmtId="2" fontId="17" fillId="0" borderId="0" xfId="0" applyNumberFormat="1" applyFont="1" applyBorder="1" applyAlignment="1">
      <alignment horizontal="center"/>
    </xf>
    <xf numFmtId="4" fontId="17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2" fontId="5" fillId="34" borderId="0" xfId="0" applyNumberFormat="1" applyFont="1" applyFill="1" applyBorder="1" applyAlignment="1">
      <alignment horizontal="left"/>
    </xf>
    <xf numFmtId="0" fontId="18" fillId="34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4" fillId="35" borderId="0" xfId="0" applyNumberFormat="1" applyFont="1" applyFill="1" applyBorder="1" applyAlignment="1">
      <alignment/>
    </xf>
    <xf numFmtId="2" fontId="17" fillId="35" borderId="0" xfId="0" applyNumberFormat="1" applyFont="1" applyFill="1" applyBorder="1" applyAlignment="1">
      <alignment/>
    </xf>
    <xf numFmtId="2" fontId="17" fillId="35" borderId="0" xfId="0" applyNumberFormat="1" applyFont="1" applyFill="1" applyBorder="1" applyAlignment="1">
      <alignment horizontal="center"/>
    </xf>
    <xf numFmtId="0" fontId="17" fillId="35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5" fillId="35" borderId="10" xfId="0" applyNumberFormat="1" applyFont="1" applyFill="1" applyBorder="1" applyAlignment="1">
      <alignment horizontal="centerContinuous" vertical="center"/>
    </xf>
    <xf numFmtId="2" fontId="5" fillId="35" borderId="11" xfId="0" applyNumberFormat="1" applyFont="1" applyFill="1" applyBorder="1" applyAlignment="1">
      <alignment horizontal="centerContinuous" vertical="center"/>
    </xf>
    <xf numFmtId="2" fontId="4" fillId="35" borderId="0" xfId="0" applyNumberFormat="1" applyFont="1" applyFill="1" applyBorder="1" applyAlignment="1">
      <alignment horizontal="left"/>
    </xf>
    <xf numFmtId="2" fontId="4" fillId="35" borderId="0" xfId="0" applyNumberFormat="1" applyFont="1" applyFill="1" applyBorder="1" applyAlignment="1">
      <alignment horizontal="center"/>
    </xf>
    <xf numFmtId="2" fontId="4" fillId="35" borderId="0" xfId="0" applyNumberFormat="1" applyFont="1" applyFill="1" applyBorder="1" applyAlignment="1">
      <alignment/>
    </xf>
    <xf numFmtId="0" fontId="5" fillId="35" borderId="11" xfId="0" applyFont="1" applyFill="1" applyBorder="1" applyAlignment="1">
      <alignment horizontal="right"/>
    </xf>
    <xf numFmtId="2" fontId="5" fillId="35" borderId="11" xfId="0" applyNumberFormat="1" applyFont="1" applyFill="1" applyBorder="1" applyAlignment="1">
      <alignment horizontal="right"/>
    </xf>
    <xf numFmtId="0" fontId="18" fillId="35" borderId="11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 vertical="center" textRotation="90" wrapText="1"/>
    </xf>
    <xf numFmtId="2" fontId="1" fillId="0" borderId="0" xfId="0" applyNumberFormat="1" applyFont="1" applyFill="1" applyAlignment="1">
      <alignment horizontal="center" vertical="center" textRotation="90" wrapText="1"/>
    </xf>
    <xf numFmtId="168" fontId="17" fillId="0" borderId="0" xfId="0" applyNumberFormat="1" applyFont="1" applyFill="1" applyBorder="1" applyAlignment="1">
      <alignment/>
    </xf>
    <xf numFmtId="2" fontId="17" fillId="0" borderId="0" xfId="0" applyNumberFormat="1" applyFont="1" applyFill="1" applyAlignment="1">
      <alignment wrapText="1"/>
    </xf>
    <xf numFmtId="2" fontId="17" fillId="0" borderId="0" xfId="0" applyNumberFormat="1" applyFont="1" applyAlignment="1">
      <alignment/>
    </xf>
    <xf numFmtId="2" fontId="17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17" fillId="0" borderId="0" xfId="0" applyFont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168" fontId="17" fillId="0" borderId="0" xfId="0" applyNumberFormat="1" applyFont="1" applyAlignment="1">
      <alignment horizontal="right"/>
    </xf>
    <xf numFmtId="1" fontId="17" fillId="0" borderId="0" xfId="0" applyNumberFormat="1" applyFont="1" applyAlignment="1">
      <alignment/>
    </xf>
    <xf numFmtId="0" fontId="0" fillId="0" borderId="0" xfId="0" applyFont="1" applyFill="1" applyAlignment="1">
      <alignment horizontal="center"/>
    </xf>
    <xf numFmtId="1" fontId="10" fillId="0" borderId="0" xfId="0" applyNumberFormat="1" applyFont="1" applyFill="1" applyAlignment="1">
      <alignment/>
    </xf>
    <xf numFmtId="1" fontId="10" fillId="0" borderId="0" xfId="0" applyNumberFormat="1" applyFont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Alignment="1">
      <alignment/>
    </xf>
    <xf numFmtId="167" fontId="10" fillId="0" borderId="0" xfId="0" applyNumberFormat="1" applyFont="1" applyAlignment="1">
      <alignment/>
    </xf>
    <xf numFmtId="1" fontId="1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167" fontId="0" fillId="0" borderId="0" xfId="0" applyNumberFormat="1" applyFont="1" applyAlignment="1">
      <alignment/>
    </xf>
    <xf numFmtId="167" fontId="1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/>
    </xf>
    <xf numFmtId="2" fontId="17" fillId="0" borderId="0" xfId="0" applyNumberFormat="1" applyFont="1" applyFill="1" applyBorder="1" applyAlignment="1">
      <alignment horizontal="right" wrapText="1"/>
    </xf>
    <xf numFmtId="2" fontId="17" fillId="0" borderId="0" xfId="0" applyNumberFormat="1" applyFont="1" applyBorder="1" applyAlignment="1">
      <alignment horizontal="right" wrapText="1"/>
    </xf>
    <xf numFmtId="0" fontId="4" fillId="0" borderId="0" xfId="0" applyFont="1" applyFill="1" applyAlignment="1">
      <alignment horizontal="left"/>
    </xf>
    <xf numFmtId="0" fontId="0" fillId="0" borderId="0" xfId="0" applyFont="1" applyAlignment="1">
      <alignment horizontal="left" wrapText="1"/>
    </xf>
    <xf numFmtId="1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Alignment="1">
      <alignment horizontal="center" vertical="center" wrapText="1"/>
    </xf>
    <xf numFmtId="0" fontId="28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Continuous" wrapText="1"/>
    </xf>
    <xf numFmtId="0" fontId="1" fillId="0" borderId="0" xfId="0" applyFont="1" applyAlignment="1">
      <alignment horizontal="center"/>
    </xf>
    <xf numFmtId="0" fontId="6" fillId="0" borderId="0" xfId="0" applyFont="1" applyFill="1" applyAlignment="1">
      <alignment horizontal="left"/>
    </xf>
    <xf numFmtId="2" fontId="5" fillId="0" borderId="0" xfId="0" applyNumberFormat="1" applyFont="1" applyFill="1" applyAlignment="1">
      <alignment horizontal="left"/>
    </xf>
    <xf numFmtId="2" fontId="9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8" fillId="0" borderId="11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2" fontId="15" fillId="0" borderId="0" xfId="0" applyNumberFormat="1" applyFont="1" applyAlignment="1">
      <alignment/>
    </xf>
    <xf numFmtId="2" fontId="15" fillId="0" borderId="0" xfId="0" applyNumberFormat="1" applyFont="1" applyAlignment="1">
      <alignment horizontal="right"/>
    </xf>
    <xf numFmtId="2" fontId="15" fillId="0" borderId="0" xfId="53" applyNumberFormat="1" applyFont="1" applyAlignment="1" applyProtection="1">
      <alignment horizontal="right"/>
      <protection/>
    </xf>
    <xf numFmtId="2" fontId="15" fillId="0" borderId="0" xfId="53" applyNumberFormat="1" applyFont="1" applyFill="1" applyBorder="1" applyAlignment="1" applyProtection="1">
      <alignment horizontal="right"/>
      <protection/>
    </xf>
    <xf numFmtId="167" fontId="15" fillId="0" borderId="0" xfId="0" applyNumberFormat="1" applyFont="1" applyAlignment="1">
      <alignment horizontal="right"/>
    </xf>
    <xf numFmtId="0" fontId="1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15" fillId="0" borderId="0" xfId="0" applyNumberFormat="1" applyFont="1" applyFill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29" fillId="0" borderId="0" xfId="0" applyFont="1" applyAlignment="1">
      <alignment/>
    </xf>
    <xf numFmtId="0" fontId="25" fillId="0" borderId="0" xfId="0" applyFont="1" applyAlignment="1">
      <alignment/>
    </xf>
    <xf numFmtId="0" fontId="30" fillId="0" borderId="0" xfId="0" applyFont="1" applyAlignment="1">
      <alignment horizontal="right"/>
    </xf>
    <xf numFmtId="167" fontId="10" fillId="0" borderId="0" xfId="0" applyNumberFormat="1" applyFont="1" applyFill="1" applyAlignment="1">
      <alignment horizontal="right"/>
    </xf>
    <xf numFmtId="0" fontId="1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1" fillId="0" borderId="0" xfId="0" applyFont="1" applyFill="1" applyAlignment="1">
      <alignment horizontal="right"/>
    </xf>
    <xf numFmtId="0" fontId="14" fillId="0" borderId="0" xfId="0" applyFont="1" applyFill="1" applyAlignment="1">
      <alignment horizontal="right"/>
    </xf>
    <xf numFmtId="167" fontId="0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5" fillId="0" borderId="0" xfId="0" applyFont="1" applyFill="1" applyAlignment="1">
      <alignment horizontal="right"/>
    </xf>
    <xf numFmtId="0" fontId="16" fillId="0" borderId="0" xfId="0" applyFont="1" applyFill="1" applyAlignment="1">
      <alignment horizontal="right"/>
    </xf>
    <xf numFmtId="0" fontId="2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shrinkToFit="1"/>
    </xf>
    <xf numFmtId="0" fontId="17" fillId="0" borderId="0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2" fontId="18" fillId="0" borderId="11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35" borderId="0" xfId="0" applyFont="1" applyFill="1" applyBorder="1" applyAlignment="1">
      <alignment/>
    </xf>
    <xf numFmtId="2" fontId="31" fillId="0" borderId="0" xfId="0" applyNumberFormat="1" applyFont="1" applyAlignment="1">
      <alignment/>
    </xf>
    <xf numFmtId="0" fontId="4" fillId="0" borderId="0" xfId="0" applyFont="1" applyBorder="1" applyAlignment="1">
      <alignment horizontal="left"/>
    </xf>
    <xf numFmtId="2" fontId="17" fillId="0" borderId="0" xfId="0" applyNumberFormat="1" applyFont="1" applyFill="1" applyAlignment="1">
      <alignment horizontal="left"/>
    </xf>
    <xf numFmtId="2" fontId="5" fillId="36" borderId="0" xfId="0" applyNumberFormat="1" applyFont="1" applyFill="1" applyBorder="1" applyAlignment="1">
      <alignment horizontal="left"/>
    </xf>
    <xf numFmtId="2" fontId="17" fillId="36" borderId="0" xfId="0" applyNumberFormat="1" applyFont="1" applyFill="1" applyBorder="1" applyAlignment="1">
      <alignment/>
    </xf>
    <xf numFmtId="0" fontId="0" fillId="36" borderId="0" xfId="0" applyFill="1" applyAlignment="1">
      <alignment/>
    </xf>
    <xf numFmtId="0" fontId="18" fillId="36" borderId="0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2" fontId="17" fillId="37" borderId="0" xfId="0" applyNumberFormat="1" applyFont="1" applyFill="1" applyAlignment="1">
      <alignment/>
    </xf>
    <xf numFmtId="2" fontId="17" fillId="37" borderId="0" xfId="0" applyNumberFormat="1" applyFont="1" applyFill="1" applyBorder="1" applyAlignment="1">
      <alignment/>
    </xf>
    <xf numFmtId="2" fontId="32" fillId="0" borderId="0" xfId="0" applyNumberFormat="1" applyFont="1" applyFill="1" applyAlignment="1">
      <alignment/>
    </xf>
    <xf numFmtId="0" fontId="3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2" fontId="17" fillId="37" borderId="0" xfId="0" applyNumberFormat="1" applyFont="1" applyFill="1" applyBorder="1" applyAlignment="1">
      <alignment horizontal="right"/>
    </xf>
    <xf numFmtId="2" fontId="17" fillId="37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2" fontId="1" fillId="35" borderId="0" xfId="0" applyNumberFormat="1" applyFont="1" applyFill="1" applyBorder="1" applyAlignment="1">
      <alignment textRotation="90" wrapText="1"/>
    </xf>
    <xf numFmtId="2" fontId="1" fillId="35" borderId="0" xfId="0" applyNumberFormat="1" applyFont="1" applyFill="1" applyBorder="1" applyAlignment="1">
      <alignment horizontal="center" textRotation="90" wrapText="1"/>
    </xf>
    <xf numFmtId="2" fontId="17" fillId="35" borderId="0" xfId="0" applyNumberFormat="1" applyFont="1" applyFill="1" applyBorder="1" applyAlignment="1">
      <alignment horizontal="right"/>
    </xf>
    <xf numFmtId="2" fontId="1" fillId="38" borderId="0" xfId="0" applyNumberFormat="1" applyFont="1" applyFill="1" applyBorder="1" applyAlignment="1">
      <alignment textRotation="90" wrapText="1"/>
    </xf>
    <xf numFmtId="2" fontId="1" fillId="38" borderId="0" xfId="0" applyNumberFormat="1" applyFont="1" applyFill="1" applyBorder="1" applyAlignment="1">
      <alignment horizontal="center" textRotation="90" wrapText="1"/>
    </xf>
    <xf numFmtId="2" fontId="17" fillId="38" borderId="0" xfId="0" applyNumberFormat="1" applyFont="1" applyFill="1" applyBorder="1" applyAlignment="1">
      <alignment/>
    </xf>
    <xf numFmtId="2" fontId="17" fillId="38" borderId="0" xfId="0" applyNumberFormat="1" applyFont="1" applyFill="1" applyBorder="1" applyAlignment="1">
      <alignment horizontal="right"/>
    </xf>
    <xf numFmtId="2" fontId="17" fillId="38" borderId="0" xfId="0" applyNumberFormat="1" applyFont="1" applyFill="1" applyAlignment="1">
      <alignment/>
    </xf>
    <xf numFmtId="2" fontId="1" fillId="37" borderId="0" xfId="0" applyNumberFormat="1" applyFont="1" applyFill="1" applyBorder="1" applyAlignment="1">
      <alignment textRotation="90" wrapText="1"/>
    </xf>
    <xf numFmtId="2" fontId="1" fillId="37" borderId="0" xfId="0" applyNumberFormat="1" applyFont="1" applyFill="1" applyBorder="1" applyAlignment="1">
      <alignment horizontal="center" textRotation="90" wrapText="1"/>
    </xf>
    <xf numFmtId="1" fontId="4" fillId="39" borderId="0" xfId="0" applyNumberFormat="1" applyFont="1" applyFill="1" applyAlignment="1">
      <alignment horizontal="left"/>
    </xf>
    <xf numFmtId="1" fontId="4" fillId="39" borderId="0" xfId="0" applyNumberFormat="1" applyFont="1" applyFill="1" applyAlignment="1">
      <alignment horizontal="center"/>
    </xf>
    <xf numFmtId="1" fontId="0" fillId="39" borderId="0" xfId="0" applyNumberFormat="1" applyFill="1" applyAlignment="1">
      <alignment/>
    </xf>
    <xf numFmtId="0" fontId="4" fillId="39" borderId="0" xfId="0" applyFont="1" applyFill="1" applyAlignment="1">
      <alignment horizontal="left"/>
    </xf>
    <xf numFmtId="0" fontId="4" fillId="39" borderId="0" xfId="0" applyFont="1" applyFill="1" applyAlignment="1">
      <alignment horizontal="center"/>
    </xf>
    <xf numFmtId="0" fontId="0" fillId="39" borderId="0" xfId="0" applyFill="1" applyAlignment="1">
      <alignment horizontal="left"/>
    </xf>
    <xf numFmtId="0" fontId="4" fillId="37" borderId="11" xfId="0" applyFont="1" applyFill="1" applyBorder="1" applyAlignment="1">
      <alignment horizontal="center" vertical="center"/>
    </xf>
    <xf numFmtId="0" fontId="0" fillId="37" borderId="11" xfId="0" applyFill="1" applyBorder="1" applyAlignment="1">
      <alignment/>
    </xf>
    <xf numFmtId="1" fontId="0" fillId="0" borderId="0" xfId="0" applyNumberFormat="1" applyFont="1" applyAlignment="1">
      <alignment horizontal="left"/>
    </xf>
    <xf numFmtId="0" fontId="4" fillId="38" borderId="0" xfId="0" applyFont="1" applyFill="1" applyAlignment="1">
      <alignment horizontal="left"/>
    </xf>
    <xf numFmtId="0" fontId="0" fillId="38" borderId="0" xfId="0" applyFill="1" applyAlignment="1">
      <alignment horizontal="left"/>
    </xf>
    <xf numFmtId="0" fontId="0" fillId="38" borderId="0" xfId="0" applyFill="1" applyAlignment="1">
      <alignment/>
    </xf>
    <xf numFmtId="2" fontId="1" fillId="34" borderId="0" xfId="0" applyNumberFormat="1" applyFont="1" applyFill="1" applyBorder="1" applyAlignment="1">
      <alignment textRotation="90" wrapText="1"/>
    </xf>
    <xf numFmtId="2" fontId="1" fillId="34" borderId="0" xfId="0" applyNumberFormat="1" applyFont="1" applyFill="1" applyBorder="1" applyAlignment="1">
      <alignment horizontal="center" textRotation="90" wrapText="1"/>
    </xf>
    <xf numFmtId="2" fontId="17" fillId="34" borderId="0" xfId="0" applyNumberFormat="1" applyFont="1" applyFill="1" applyBorder="1" applyAlignment="1">
      <alignment/>
    </xf>
    <xf numFmtId="2" fontId="17" fillId="34" borderId="0" xfId="0" applyNumberFormat="1" applyFont="1" applyFill="1" applyBorder="1" applyAlignment="1">
      <alignment horizontal="right"/>
    </xf>
    <xf numFmtId="1" fontId="35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/>
    </xf>
    <xf numFmtId="2" fontId="17" fillId="34" borderId="0" xfId="0" applyNumberFormat="1" applyFont="1" applyFill="1" applyAlignment="1">
      <alignment/>
    </xf>
    <xf numFmtId="0" fontId="17" fillId="34" borderId="0" xfId="0" applyFont="1" applyFill="1" applyAlignment="1">
      <alignment/>
    </xf>
    <xf numFmtId="2" fontId="17" fillId="34" borderId="0" xfId="0" applyNumberFormat="1" applyFont="1" applyFill="1" applyAlignment="1">
      <alignment horizontal="right"/>
    </xf>
    <xf numFmtId="2" fontId="17" fillId="40" borderId="0" xfId="0" applyNumberFormat="1" applyFont="1" applyFill="1" applyBorder="1" applyAlignment="1">
      <alignment/>
    </xf>
    <xf numFmtId="2" fontId="17" fillId="40" borderId="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2" fontId="17" fillId="41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17" fillId="0" borderId="0" xfId="0" applyNumberFormat="1" applyFont="1" applyAlignment="1">
      <alignment wrapText="1"/>
    </xf>
    <xf numFmtId="2" fontId="36" fillId="0" borderId="0" xfId="0" applyNumberFormat="1" applyFont="1" applyFill="1" applyBorder="1" applyAlignment="1">
      <alignment/>
    </xf>
    <xf numFmtId="0" fontId="37" fillId="0" borderId="0" xfId="0" applyFont="1" applyBorder="1" applyAlignment="1">
      <alignment/>
    </xf>
    <xf numFmtId="0" fontId="16" fillId="0" borderId="0" xfId="0" applyFont="1" applyFill="1" applyAlignment="1">
      <alignment horizontal="left"/>
    </xf>
    <xf numFmtId="0" fontId="38" fillId="0" borderId="0" xfId="0" applyFont="1" applyFill="1" applyAlignment="1">
      <alignment horizontal="left"/>
    </xf>
    <xf numFmtId="49" fontId="15" fillId="0" borderId="0" xfId="0" applyNumberFormat="1" applyFont="1" applyAlignment="1">
      <alignment horizontal="center"/>
    </xf>
    <xf numFmtId="2" fontId="39" fillId="0" borderId="0" xfId="0" applyNumberFormat="1" applyFont="1" applyFill="1" applyBorder="1" applyAlignment="1">
      <alignment horizontal="center"/>
    </xf>
    <xf numFmtId="0" fontId="41" fillId="0" borderId="0" xfId="0" applyFont="1" applyBorder="1" applyAlignment="1">
      <alignment/>
    </xf>
    <xf numFmtId="2" fontId="40" fillId="0" borderId="0" xfId="0" applyNumberFormat="1" applyFont="1" applyFill="1" applyBorder="1" applyAlignment="1">
      <alignment/>
    </xf>
    <xf numFmtId="0" fontId="43" fillId="0" borderId="0" xfId="0" applyFont="1" applyAlignment="1">
      <alignment/>
    </xf>
    <xf numFmtId="0" fontId="24" fillId="0" borderId="0" xfId="0" applyFont="1" applyFill="1" applyAlignment="1">
      <alignment horizontal="right"/>
    </xf>
    <xf numFmtId="0" fontId="0" fillId="0" borderId="0" xfId="0" applyBorder="1" applyAlignment="1">
      <alignment/>
    </xf>
    <xf numFmtId="4" fontId="42" fillId="0" borderId="0" xfId="0" applyNumberFormat="1" applyFont="1" applyFill="1" applyBorder="1" applyAlignment="1">
      <alignment/>
    </xf>
    <xf numFmtId="2" fontId="83" fillId="0" borderId="0" xfId="0" applyNumberFormat="1" applyFont="1" applyFill="1" applyBorder="1" applyAlignment="1">
      <alignment/>
    </xf>
    <xf numFmtId="2" fontId="83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2" fontId="84" fillId="0" borderId="0" xfId="0" applyNumberFormat="1" applyFont="1" applyFill="1" applyBorder="1" applyAlignment="1">
      <alignment/>
    </xf>
    <xf numFmtId="2" fontId="84" fillId="0" borderId="0" xfId="0" applyNumberFormat="1" applyFont="1" applyAlignment="1">
      <alignment/>
    </xf>
    <xf numFmtId="2" fontId="84" fillId="0" borderId="0" xfId="0" applyNumberFormat="1" applyFont="1" applyFill="1" applyAlignment="1">
      <alignment/>
    </xf>
    <xf numFmtId="167" fontId="85" fillId="0" borderId="0" xfId="0" applyNumberFormat="1" applyFont="1" applyAlignment="1">
      <alignment/>
    </xf>
    <xf numFmtId="2" fontId="85" fillId="0" borderId="0" xfId="0" applyNumberFormat="1" applyFont="1" applyAlignment="1">
      <alignment/>
    </xf>
    <xf numFmtId="0" fontId="27" fillId="0" borderId="0" xfId="0" applyFont="1" applyAlignment="1">
      <alignment vertical="center"/>
    </xf>
    <xf numFmtId="0" fontId="33" fillId="0" borderId="0" xfId="0" applyFont="1" applyAlignment="1">
      <alignment wrapText="1"/>
    </xf>
    <xf numFmtId="0" fontId="1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2" fontId="83" fillId="0" borderId="0" xfId="0" applyNumberFormat="1" applyFont="1" applyAlignment="1">
      <alignment horizontal="right"/>
    </xf>
    <xf numFmtId="0" fontId="83" fillId="0" borderId="0" xfId="0" applyFont="1" applyAlignment="1">
      <alignment/>
    </xf>
    <xf numFmtId="0" fontId="86" fillId="0" borderId="0" xfId="0" applyFont="1" applyAlignment="1">
      <alignment/>
    </xf>
    <xf numFmtId="2" fontId="83" fillId="0" borderId="0" xfId="0" applyNumberFormat="1" applyFont="1" applyAlignment="1">
      <alignment/>
    </xf>
    <xf numFmtId="2" fontId="83" fillId="0" borderId="0" xfId="0" applyNumberFormat="1" applyFont="1" applyAlignment="1">
      <alignment vertical="center"/>
    </xf>
    <xf numFmtId="2" fontId="84" fillId="37" borderId="0" xfId="0" applyNumberFormat="1" applyFont="1" applyFill="1" applyAlignment="1">
      <alignment/>
    </xf>
    <xf numFmtId="2" fontId="84" fillId="0" borderId="0" xfId="0" applyNumberFormat="1" applyFont="1" applyFill="1" applyAlignment="1">
      <alignment/>
    </xf>
    <xf numFmtId="2" fontId="84" fillId="37" borderId="0" xfId="0" applyNumberFormat="1" applyFont="1" applyFill="1" applyAlignment="1">
      <alignment horizontal="right"/>
    </xf>
    <xf numFmtId="2" fontId="84" fillId="0" borderId="0" xfId="0" applyNumberFormat="1" applyFont="1" applyFill="1" applyAlignment="1">
      <alignment horizontal="right"/>
    </xf>
    <xf numFmtId="2" fontId="84" fillId="41" borderId="0" xfId="0" applyNumberFormat="1" applyFont="1" applyFill="1" applyBorder="1" applyAlignment="1">
      <alignment/>
    </xf>
    <xf numFmtId="2" fontId="84" fillId="42" borderId="0" xfId="0" applyNumberFormat="1" applyFont="1" applyFill="1" applyAlignment="1">
      <alignment horizontal="right"/>
    </xf>
    <xf numFmtId="2" fontId="84" fillId="42" borderId="0" xfId="0" applyNumberFormat="1" applyFont="1" applyFill="1" applyBorder="1" applyAlignment="1">
      <alignment/>
    </xf>
    <xf numFmtId="2" fontId="84" fillId="37" borderId="0" xfId="0" applyNumberFormat="1" applyFont="1" applyFill="1" applyBorder="1" applyAlignment="1">
      <alignment/>
    </xf>
    <xf numFmtId="2" fontId="84" fillId="30" borderId="0" xfId="0" applyNumberFormat="1" applyFont="1" applyFill="1" applyBorder="1" applyAlignment="1">
      <alignment/>
    </xf>
    <xf numFmtId="4" fontId="84" fillId="43" borderId="0" xfId="0" applyNumberFormat="1" applyFont="1" applyFill="1" applyBorder="1" applyAlignment="1">
      <alignment/>
    </xf>
    <xf numFmtId="4" fontId="84" fillId="0" borderId="0" xfId="0" applyNumberFormat="1" applyFont="1" applyFill="1" applyBorder="1" applyAlignment="1">
      <alignment/>
    </xf>
    <xf numFmtId="2" fontId="84" fillId="30" borderId="0" xfId="0" applyNumberFormat="1" applyFont="1" applyFill="1" applyAlignment="1">
      <alignment/>
    </xf>
    <xf numFmtId="2" fontId="84" fillId="42" borderId="0" xfId="0" applyNumberFormat="1" applyFont="1" applyFill="1" applyAlignment="1">
      <alignment/>
    </xf>
    <xf numFmtId="2" fontId="84" fillId="30" borderId="0" xfId="0" applyNumberFormat="1" applyFont="1" applyFill="1" applyBorder="1" applyAlignment="1">
      <alignment horizontal="right"/>
    </xf>
    <xf numFmtId="2" fontId="84" fillId="30" borderId="0" xfId="0" applyNumberFormat="1" applyFont="1" applyFill="1" applyAlignment="1">
      <alignment horizontal="right"/>
    </xf>
    <xf numFmtId="0" fontId="87" fillId="37" borderId="0" xfId="0" applyFont="1" applyFill="1" applyAlignment="1">
      <alignment/>
    </xf>
    <xf numFmtId="0" fontId="88" fillId="0" borderId="0" xfId="0" applyFont="1" applyAlignment="1">
      <alignment/>
    </xf>
    <xf numFmtId="2" fontId="84" fillId="0" borderId="0" xfId="0" applyNumberFormat="1" applyFont="1" applyFill="1" applyBorder="1" applyAlignment="1">
      <alignment horizontal="right"/>
    </xf>
    <xf numFmtId="2" fontId="84" fillId="0" borderId="0" xfId="0" applyNumberFormat="1" applyFont="1" applyAlignment="1">
      <alignment horizontal="right"/>
    </xf>
    <xf numFmtId="2" fontId="89" fillId="0" borderId="13" xfId="0" applyNumberFormat="1" applyFont="1" applyFill="1" applyBorder="1" applyAlignment="1">
      <alignment horizontal="center"/>
    </xf>
    <xf numFmtId="2" fontId="84" fillId="0" borderId="0" xfId="0" applyNumberFormat="1" applyFont="1" applyBorder="1" applyAlignment="1">
      <alignment/>
    </xf>
    <xf numFmtId="2" fontId="84" fillId="35" borderId="0" xfId="0" applyNumberFormat="1" applyFont="1" applyFill="1" applyBorder="1" applyAlignment="1">
      <alignment horizontal="right"/>
    </xf>
    <xf numFmtId="2" fontId="84" fillId="34" borderId="0" xfId="0" applyNumberFormat="1" applyFont="1" applyFill="1" applyBorder="1" applyAlignment="1">
      <alignment/>
    </xf>
    <xf numFmtId="2" fontId="84" fillId="34" borderId="0" xfId="0" applyNumberFormat="1" applyFont="1" applyFill="1" applyAlignment="1">
      <alignment/>
    </xf>
    <xf numFmtId="2" fontId="84" fillId="38" borderId="0" xfId="0" applyNumberFormat="1" applyFont="1" applyFill="1" applyBorder="1" applyAlignment="1">
      <alignment/>
    </xf>
    <xf numFmtId="2" fontId="84" fillId="38" borderId="0" xfId="0" applyNumberFormat="1" applyFont="1" applyFill="1" applyAlignment="1">
      <alignment/>
    </xf>
    <xf numFmtId="2" fontId="84" fillId="37" borderId="0" xfId="0" applyNumberFormat="1" applyFont="1" applyFill="1" applyBorder="1" applyAlignment="1">
      <alignment horizontal="right"/>
    </xf>
    <xf numFmtId="2" fontId="84" fillId="0" borderId="0" xfId="0" applyNumberFormat="1" applyFont="1" applyFill="1" applyBorder="1" applyAlignment="1">
      <alignment/>
    </xf>
    <xf numFmtId="2" fontId="84" fillId="0" borderId="0" xfId="0" applyNumberFormat="1" applyFont="1" applyAlignment="1">
      <alignment/>
    </xf>
    <xf numFmtId="2" fontId="84" fillId="0" borderId="0" xfId="0" applyNumberFormat="1" applyFont="1" applyAlignment="1">
      <alignment vertical="center"/>
    </xf>
    <xf numFmtId="2" fontId="84" fillId="0" borderId="0" xfId="0" applyNumberFormat="1" applyFont="1" applyAlignment="1">
      <alignment wrapText="1"/>
    </xf>
    <xf numFmtId="167" fontId="87" fillId="0" borderId="0" xfId="0" applyNumberFormat="1" applyFont="1" applyAlignment="1">
      <alignment/>
    </xf>
    <xf numFmtId="167" fontId="87" fillId="0" borderId="0" xfId="0" applyNumberFormat="1" applyFont="1" applyFill="1" applyAlignment="1">
      <alignment/>
    </xf>
    <xf numFmtId="167" fontId="90" fillId="0" borderId="0" xfId="0" applyNumberFormat="1" applyFont="1" applyAlignment="1">
      <alignment/>
    </xf>
    <xf numFmtId="167" fontId="90" fillId="0" borderId="0" xfId="0" applyNumberFormat="1" applyFont="1" applyFill="1" applyAlignment="1">
      <alignment/>
    </xf>
    <xf numFmtId="170" fontId="87" fillId="0" borderId="0" xfId="0" applyNumberFormat="1" applyFont="1" applyFill="1" applyAlignment="1">
      <alignment/>
    </xf>
    <xf numFmtId="170" fontId="87" fillId="0" borderId="0" xfId="0" applyNumberFormat="1" applyFont="1" applyAlignment="1">
      <alignment/>
    </xf>
    <xf numFmtId="0" fontId="87" fillId="0" borderId="0" xfId="0" applyFont="1" applyAlignment="1">
      <alignment horizontal="right"/>
    </xf>
    <xf numFmtId="3" fontId="87" fillId="37" borderId="0" xfId="0" applyNumberFormat="1" applyFont="1" applyFill="1" applyAlignment="1">
      <alignment/>
    </xf>
    <xf numFmtId="0" fontId="85" fillId="0" borderId="0" xfId="0" applyFont="1" applyAlignment="1">
      <alignment/>
    </xf>
    <xf numFmtId="3" fontId="85" fillId="0" borderId="0" xfId="0" applyNumberFormat="1" applyFont="1" applyAlignment="1">
      <alignment/>
    </xf>
    <xf numFmtId="3" fontId="85" fillId="0" borderId="0" xfId="42" applyNumberFormat="1" applyFont="1" applyAlignment="1">
      <alignment/>
    </xf>
    <xf numFmtId="1" fontId="85" fillId="0" borderId="0" xfId="0" applyNumberFormat="1" applyFont="1" applyAlignment="1">
      <alignment/>
    </xf>
    <xf numFmtId="3" fontId="85" fillId="0" borderId="0" xfId="42" applyNumberFormat="1" applyFont="1" applyAlignment="1">
      <alignment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4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6" fillId="0" borderId="0" xfId="0" applyFont="1" applyAlignment="1">
      <alignment/>
    </xf>
    <xf numFmtId="0" fontId="10" fillId="0" borderId="0" xfId="0" applyFont="1" applyAlignment="1">
      <alignment/>
    </xf>
    <xf numFmtId="0" fontId="21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6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2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39" borderId="0" xfId="0" applyFont="1" applyFill="1" applyAlignment="1">
      <alignment horizontal="center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2" fontId="5" fillId="4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2" fontId="5" fillId="35" borderId="11" xfId="0" applyNumberFormat="1" applyFont="1" applyFill="1" applyBorder="1" applyAlignment="1">
      <alignment horizontal="center" vertical="center"/>
    </xf>
    <xf numFmtId="2" fontId="5" fillId="39" borderId="11" xfId="0" applyNumberFormat="1" applyFont="1" applyFill="1" applyBorder="1" applyAlignment="1">
      <alignment horizontal="center" vertical="center"/>
    </xf>
    <xf numFmtId="0" fontId="0" fillId="39" borderId="11" xfId="0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2" fontId="17" fillId="0" borderId="0" xfId="0" applyNumberFormat="1" applyFont="1" applyFill="1" applyAlignment="1">
      <alignment horizontal="right" shrinkToFit="1"/>
    </xf>
    <xf numFmtId="2" fontId="17" fillId="38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2" fontId="17" fillId="0" borderId="0" xfId="0" applyNumberFormat="1" applyFont="1" applyFill="1" applyBorder="1" applyAlignment="1">
      <alignment horizontal="right" shrinkToFit="1"/>
    </xf>
    <xf numFmtId="0" fontId="0" fillId="0" borderId="0" xfId="0" applyFont="1" applyFill="1" applyBorder="1" applyAlignment="1">
      <alignment horizontal="right" shrinkToFit="1"/>
    </xf>
    <xf numFmtId="0" fontId="17" fillId="36" borderId="0" xfId="0" applyFont="1" applyFill="1" applyBorder="1" applyAlignment="1">
      <alignment horizontal="center"/>
    </xf>
    <xf numFmtId="0" fontId="17" fillId="38" borderId="0" xfId="0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7" fillId="0" borderId="0" xfId="0" applyFont="1" applyFill="1" applyAlignment="1">
      <alignment horizontal="right" shrinkToFit="1"/>
    </xf>
    <xf numFmtId="0" fontId="0" fillId="0" borderId="0" xfId="0" applyFont="1" applyFill="1" applyAlignment="1">
      <alignment shrinkToFi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left" wrapText="1"/>
    </xf>
    <xf numFmtId="0" fontId="4" fillId="38" borderId="11" xfId="0" applyFont="1" applyFill="1" applyBorder="1" applyAlignment="1">
      <alignment horizontal="center" vertical="center" shrinkToFit="1"/>
    </xf>
    <xf numFmtId="0" fontId="0" fillId="0" borderId="11" xfId="0" applyBorder="1" applyAlignment="1">
      <alignment shrinkToFit="1"/>
    </xf>
    <xf numFmtId="2" fontId="5" fillId="39" borderId="12" xfId="0" applyNumberFormat="1" applyFont="1" applyFill="1" applyBorder="1" applyAlignment="1">
      <alignment horizontal="center" vertical="center"/>
    </xf>
    <xf numFmtId="2" fontId="17" fillId="37" borderId="0" xfId="0" applyNumberFormat="1" applyFont="1" applyFill="1" applyBorder="1" applyAlignment="1">
      <alignment wrapText="1"/>
    </xf>
    <xf numFmtId="0" fontId="0" fillId="37" borderId="0" xfId="0" applyFill="1" applyAlignment="1">
      <alignment wrapText="1"/>
    </xf>
    <xf numFmtId="0" fontId="0" fillId="0" borderId="11" xfId="0" applyBorder="1" applyAlignment="1">
      <alignment/>
    </xf>
    <xf numFmtId="0" fontId="0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1" fontId="0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Fill="1" applyAlignment="1">
      <alignment horizontal="center"/>
    </xf>
    <xf numFmtId="1" fontId="34" fillId="0" borderId="0" xfId="0" applyNumberFormat="1" applyFont="1" applyAlignment="1">
      <alignment horizontal="center" vertical="center" textRotation="18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8"/>
  <sheetViews>
    <sheetView tabSelected="1" zoomScaleSheetLayoutView="100" zoomScalePageLayoutView="0" workbookViewId="0" topLeftCell="A1">
      <selection activeCell="I1" sqref="I1"/>
    </sheetView>
  </sheetViews>
  <sheetFormatPr defaultColWidth="9.140625" defaultRowHeight="12.75"/>
  <cols>
    <col min="1" max="1" width="19.7109375" style="167" customWidth="1"/>
    <col min="2" max="2" width="10.8515625" style="167" customWidth="1"/>
    <col min="3" max="3" width="15.00390625" style="169" customWidth="1"/>
    <col min="4" max="4" width="20.28125" style="167" customWidth="1"/>
    <col min="5" max="5" width="9.140625" style="2" customWidth="1"/>
    <col min="6" max="6" width="9.7109375" style="167" customWidth="1"/>
    <col min="7" max="7" width="12.00390625" style="167" customWidth="1"/>
    <col min="8" max="8" width="9.421875" style="3" customWidth="1"/>
    <col min="9" max="9" width="9.7109375" style="167" customWidth="1"/>
    <col min="10" max="16384" width="9.140625" style="167" customWidth="1"/>
  </cols>
  <sheetData>
    <row r="1" spans="1:9" ht="15.75">
      <c r="A1" s="32" t="s">
        <v>282</v>
      </c>
      <c r="B1" s="32"/>
      <c r="C1" s="32"/>
      <c r="D1" s="32"/>
      <c r="E1" s="32"/>
      <c r="F1" s="19"/>
      <c r="G1" s="6"/>
      <c r="H1" s="19"/>
      <c r="I1" s="19"/>
    </row>
    <row r="2" spans="1:9" ht="12.75">
      <c r="A2" s="164" t="s">
        <v>264</v>
      </c>
      <c r="B2" s="14" t="s">
        <v>36</v>
      </c>
      <c r="C2" s="14" t="s">
        <v>183</v>
      </c>
      <c r="H2" s="18"/>
      <c r="I2" s="6"/>
    </row>
    <row r="3" spans="1:12" ht="12.75">
      <c r="A3" s="6"/>
      <c r="B3" s="6"/>
      <c r="C3" s="163"/>
      <c r="D3" s="163"/>
      <c r="E3" s="163"/>
      <c r="F3" s="163"/>
      <c r="G3" s="163"/>
      <c r="H3" s="163"/>
      <c r="I3" s="163"/>
      <c r="J3" s="163"/>
      <c r="K3" s="163"/>
      <c r="L3" s="163"/>
    </row>
    <row r="4" spans="1:9" ht="12.75">
      <c r="A4" s="6" t="s">
        <v>37</v>
      </c>
      <c r="B4" s="359">
        <v>25500</v>
      </c>
      <c r="C4" s="336">
        <v>72</v>
      </c>
      <c r="H4" s="18"/>
      <c r="I4" s="19"/>
    </row>
    <row r="5" spans="1:9" ht="12.75">
      <c r="A5" s="6" t="s">
        <v>38</v>
      </c>
      <c r="B5" s="359">
        <v>26000</v>
      </c>
      <c r="C5" s="336">
        <v>48</v>
      </c>
      <c r="H5" s="18"/>
      <c r="I5" s="19"/>
    </row>
    <row r="6" spans="1:9" ht="12.75">
      <c r="A6" s="6" t="s">
        <v>39</v>
      </c>
      <c r="B6" s="359">
        <v>26000</v>
      </c>
      <c r="C6" s="336">
        <v>209</v>
      </c>
      <c r="H6" s="18"/>
      <c r="I6" s="19"/>
    </row>
    <row r="7" spans="1:12" ht="12.75">
      <c r="A7" s="293" t="s">
        <v>398</v>
      </c>
      <c r="B7" s="294"/>
      <c r="C7" s="294"/>
      <c r="D7" s="294"/>
      <c r="E7" s="294"/>
      <c r="F7" s="294"/>
      <c r="G7" s="294"/>
      <c r="H7" s="294"/>
      <c r="I7" s="294"/>
      <c r="J7" s="249"/>
      <c r="K7" s="249"/>
      <c r="L7" s="249"/>
    </row>
    <row r="8" spans="1:12" ht="12.75">
      <c r="A8" s="293" t="s">
        <v>399</v>
      </c>
      <c r="B8" s="293"/>
      <c r="C8" s="293"/>
      <c r="D8" s="293"/>
      <c r="E8" s="293"/>
      <c r="F8" s="293"/>
      <c r="G8" s="293"/>
      <c r="H8" s="293"/>
      <c r="I8" s="293"/>
      <c r="J8" s="293"/>
      <c r="K8" s="293"/>
      <c r="L8" s="293"/>
    </row>
    <row r="9" spans="1:12" ht="12.75">
      <c r="A9" s="163"/>
      <c r="B9" s="163"/>
      <c r="C9" s="163"/>
      <c r="D9" s="163"/>
      <c r="E9" s="300" t="s">
        <v>319</v>
      </c>
      <c r="F9" s="300" t="s">
        <v>318</v>
      </c>
      <c r="G9" s="163"/>
      <c r="H9" s="163"/>
      <c r="I9" s="163"/>
      <c r="J9" s="163"/>
      <c r="K9" s="163"/>
      <c r="L9" s="163"/>
    </row>
    <row r="10" spans="1:9" ht="12.75">
      <c r="A10" s="19" t="s">
        <v>355</v>
      </c>
      <c r="B10" s="6"/>
      <c r="C10" s="6"/>
      <c r="D10" s="6"/>
      <c r="E10" s="336">
        <v>95568</v>
      </c>
      <c r="F10" s="161">
        <f>E10/12</f>
        <v>7964</v>
      </c>
      <c r="G10" s="6"/>
      <c r="H10" s="6"/>
      <c r="I10" s="19"/>
    </row>
    <row r="11" spans="2:9" ht="12.75">
      <c r="B11" s="163" t="s">
        <v>320</v>
      </c>
      <c r="C11" s="6"/>
      <c r="D11" s="6"/>
      <c r="E11" s="161">
        <f>E10*0.512</f>
        <v>48930.816</v>
      </c>
      <c r="F11" s="161">
        <f>E11/12</f>
        <v>4077.5679999999998</v>
      </c>
      <c r="G11" s="6"/>
      <c r="H11" s="6"/>
      <c r="I11" s="19"/>
    </row>
    <row r="12" spans="2:9" ht="12.75">
      <c r="B12" s="163" t="s">
        <v>321</v>
      </c>
      <c r="C12" s="6"/>
      <c r="D12" s="6"/>
      <c r="E12" s="161">
        <f>E10*0.488</f>
        <v>46637.184</v>
      </c>
      <c r="F12" s="161">
        <f>E12/12</f>
        <v>3886.4320000000002</v>
      </c>
      <c r="G12" s="6"/>
      <c r="H12" s="6"/>
      <c r="I12" s="19"/>
    </row>
    <row r="13" spans="1:9" ht="12.75">
      <c r="A13" s="337" t="s">
        <v>416</v>
      </c>
      <c r="B13" s="6"/>
      <c r="C13" s="19"/>
      <c r="D13" s="6"/>
      <c r="E13" s="162"/>
      <c r="F13" s="6"/>
      <c r="G13" s="6"/>
      <c r="H13" s="19"/>
      <c r="I13" s="6"/>
    </row>
    <row r="14" spans="1:9" ht="12.75">
      <c r="A14" s="6"/>
      <c r="B14" s="6"/>
      <c r="C14" s="19"/>
      <c r="D14" s="6"/>
      <c r="E14" s="6"/>
      <c r="F14" s="6"/>
      <c r="G14" s="6"/>
      <c r="H14" s="19"/>
      <c r="I14" s="6"/>
    </row>
    <row r="15" spans="1:9" ht="12.75">
      <c r="A15" s="214" t="s">
        <v>285</v>
      </c>
      <c r="B15" s="6"/>
      <c r="C15" s="19"/>
      <c r="D15" s="6"/>
      <c r="E15" s="6"/>
      <c r="F15" s="6"/>
      <c r="G15" s="6"/>
      <c r="H15" s="19"/>
      <c r="I15" s="6"/>
    </row>
    <row r="16" spans="1:9" ht="12.75">
      <c r="A16" s="6"/>
      <c r="B16" s="6"/>
      <c r="C16" s="19"/>
      <c r="D16" s="6"/>
      <c r="E16" s="6"/>
      <c r="F16" s="6"/>
      <c r="G16" s="6"/>
      <c r="H16" s="19"/>
      <c r="I16" s="6"/>
    </row>
    <row r="17" spans="1:9" ht="12.75">
      <c r="A17" s="6" t="s">
        <v>279</v>
      </c>
      <c r="B17" s="13"/>
      <c r="C17" s="6"/>
      <c r="D17" s="19"/>
      <c r="E17" s="6"/>
      <c r="F17" s="6"/>
      <c r="G17" s="6"/>
      <c r="H17" s="6"/>
      <c r="I17" s="19"/>
    </row>
    <row r="18" spans="2:9" ht="12.75">
      <c r="B18" s="162">
        <f>E11/12</f>
        <v>4077.5679999999998</v>
      </c>
      <c r="C18" s="6" t="s">
        <v>322</v>
      </c>
      <c r="G18" s="6"/>
      <c r="H18" s="6"/>
      <c r="I18" s="19"/>
    </row>
    <row r="19" spans="4:9" ht="12.75">
      <c r="D19" s="14" t="s">
        <v>248</v>
      </c>
      <c r="E19" s="28">
        <f>B18*10*365/325851</f>
        <v>45.67462797413542</v>
      </c>
      <c r="F19" s="6" t="s">
        <v>286</v>
      </c>
      <c r="G19" s="6"/>
      <c r="H19" s="6"/>
      <c r="I19" s="19"/>
    </row>
    <row r="20" spans="2:9" ht="12.75">
      <c r="B20" s="6"/>
      <c r="E20" s="28"/>
      <c r="F20" s="6"/>
      <c r="G20" s="6"/>
      <c r="H20" s="6"/>
      <c r="I20" s="19"/>
    </row>
    <row r="21" spans="1:9" ht="12.75">
      <c r="A21" s="6" t="s">
        <v>258</v>
      </c>
      <c r="B21" s="13"/>
      <c r="C21" s="6"/>
      <c r="D21" s="19"/>
      <c r="E21" s="28"/>
      <c r="F21" s="6"/>
      <c r="G21" s="6"/>
      <c r="H21" s="6"/>
      <c r="I21" s="19"/>
    </row>
    <row r="22" spans="2:9" ht="12.75">
      <c r="B22" s="6" t="s">
        <v>41</v>
      </c>
      <c r="C22" s="6"/>
      <c r="D22" s="19"/>
      <c r="E22" s="28"/>
      <c r="F22" s="28"/>
      <c r="G22" s="6"/>
      <c r="H22" s="6"/>
      <c r="I22" s="19"/>
    </row>
    <row r="23" spans="2:9" ht="12.75">
      <c r="B23" s="166">
        <f>B5*0.53</f>
        <v>13780</v>
      </c>
      <c r="C23" s="10" t="s">
        <v>400</v>
      </c>
      <c r="E23" s="28"/>
      <c r="F23" s="28"/>
      <c r="G23" s="6"/>
      <c r="H23" s="6"/>
      <c r="I23" s="19"/>
    </row>
    <row r="24" spans="2:9" ht="12.75">
      <c r="B24" s="162">
        <f>B23-B18</f>
        <v>9702.432</v>
      </c>
      <c r="C24" s="365" t="s">
        <v>244</v>
      </c>
      <c r="D24" s="366"/>
      <c r="E24" s="28"/>
      <c r="F24" s="28"/>
      <c r="G24" s="6"/>
      <c r="H24" s="6"/>
      <c r="I24" s="19"/>
    </row>
    <row r="25" spans="3:9" ht="12.75">
      <c r="C25" s="366"/>
      <c r="D25" s="366"/>
      <c r="E25" s="28">
        <f>B24*10*365/325851</f>
        <v>108.68119723431877</v>
      </c>
      <c r="F25" s="6" t="s">
        <v>286</v>
      </c>
      <c r="G25" s="6"/>
      <c r="H25" s="6"/>
      <c r="I25" s="19"/>
    </row>
    <row r="26" spans="2:9" ht="12.75">
      <c r="B26" s="166">
        <f>C5*0.53</f>
        <v>25.44</v>
      </c>
      <c r="C26" s="10" t="s">
        <v>401</v>
      </c>
      <c r="E26" s="171">
        <f>B26*2.2*365/325851</f>
        <v>0.06269221208466447</v>
      </c>
      <c r="F26" s="6" t="s">
        <v>286</v>
      </c>
      <c r="G26" s="6"/>
      <c r="H26" s="6"/>
      <c r="I26" s="19"/>
    </row>
    <row r="27" spans="3:9" ht="12.75">
      <c r="C27" s="6"/>
      <c r="D27" s="14" t="s">
        <v>249</v>
      </c>
      <c r="E27" s="28">
        <f>E25+E26</f>
        <v>108.74388944640344</v>
      </c>
      <c r="F27" s="6" t="s">
        <v>286</v>
      </c>
      <c r="G27" s="6"/>
      <c r="H27" s="6"/>
      <c r="I27" s="19"/>
    </row>
    <row r="28" spans="2:9" ht="12.75">
      <c r="B28" s="6" t="s">
        <v>251</v>
      </c>
      <c r="C28" s="6"/>
      <c r="D28" s="19"/>
      <c r="E28" s="28">
        <f>E19+E25+E26</f>
        <v>154.41851742053885</v>
      </c>
      <c r="F28" s="6" t="s">
        <v>286</v>
      </c>
      <c r="G28" s="6"/>
      <c r="H28" s="6"/>
      <c r="I28" s="19"/>
    </row>
    <row r="29" spans="1:9" ht="12.75">
      <c r="A29" s="22"/>
      <c r="B29" s="6"/>
      <c r="C29" s="19"/>
      <c r="D29" s="6"/>
      <c r="E29" s="28"/>
      <c r="F29" s="6"/>
      <c r="G29" s="6"/>
      <c r="H29" s="19"/>
      <c r="I29" s="6"/>
    </row>
    <row r="30" spans="1:9" ht="12.75">
      <c r="A30" s="214" t="s">
        <v>245</v>
      </c>
      <c r="B30" s="172"/>
      <c r="C30" s="19"/>
      <c r="D30" s="6"/>
      <c r="E30" s="28"/>
      <c r="F30" s="6"/>
      <c r="G30" s="6"/>
      <c r="H30" s="19"/>
      <c r="I30" s="6"/>
    </row>
    <row r="31" spans="2:9" ht="12.75">
      <c r="B31" s="6" t="s">
        <v>43</v>
      </c>
      <c r="C31" s="19"/>
      <c r="D31" s="6"/>
      <c r="E31" s="28"/>
      <c r="F31" s="6"/>
      <c r="G31" s="6"/>
      <c r="H31" s="19"/>
      <c r="I31" s="6"/>
    </row>
    <row r="32" spans="1:9" ht="12.75">
      <c r="A32" s="10"/>
      <c r="B32" s="14">
        <f>B6*0.06</f>
        <v>1560</v>
      </c>
      <c r="C32" s="10" t="s">
        <v>402</v>
      </c>
      <c r="D32" s="10"/>
      <c r="E32" s="28">
        <f>B32*12*365/325851</f>
        <v>20.969093235865472</v>
      </c>
      <c r="F32" s="6" t="s">
        <v>286</v>
      </c>
      <c r="G32" s="6"/>
      <c r="H32" s="19"/>
      <c r="I32" s="6"/>
    </row>
    <row r="33" spans="1:9" ht="12.75">
      <c r="A33" s="10"/>
      <c r="B33" s="166">
        <f>C6*0.06</f>
        <v>12.54</v>
      </c>
      <c r="C33" s="10" t="s">
        <v>403</v>
      </c>
      <c r="E33" s="171">
        <f>B33*2.2*365/325851</f>
        <v>0.03090252907003508</v>
      </c>
      <c r="F33" s="6" t="s">
        <v>286</v>
      </c>
      <c r="G33" s="6"/>
      <c r="H33" s="19"/>
      <c r="I33" s="6"/>
    </row>
    <row r="34" spans="1:9" ht="12.75">
      <c r="A34" s="7"/>
      <c r="C34" s="168"/>
      <c r="D34" s="14" t="s">
        <v>250</v>
      </c>
      <c r="E34" s="28">
        <f>E32+E33</f>
        <v>20.999995764935505</v>
      </c>
      <c r="F34" s="6" t="s">
        <v>286</v>
      </c>
      <c r="G34" s="6"/>
      <c r="H34" s="19"/>
      <c r="I34" s="6"/>
    </row>
    <row r="35" spans="1:9" ht="12.75">
      <c r="A35" s="214" t="s">
        <v>44</v>
      </c>
      <c r="B35" s="6"/>
      <c r="C35" s="19"/>
      <c r="D35" s="6"/>
      <c r="E35" s="6"/>
      <c r="F35" s="6"/>
      <c r="G35" s="6"/>
      <c r="H35" s="19"/>
      <c r="I35" s="6"/>
    </row>
    <row r="36" spans="2:9" ht="12.75">
      <c r="B36" s="164" t="s">
        <v>45</v>
      </c>
      <c r="C36" s="164"/>
      <c r="D36" s="23"/>
      <c r="E36" s="164"/>
      <c r="F36" s="6"/>
      <c r="G36" s="6"/>
      <c r="H36" s="19"/>
      <c r="I36" s="6"/>
    </row>
    <row r="37" spans="2:9" ht="12.75">
      <c r="B37" s="162">
        <f>B6*0.07</f>
        <v>1820.0000000000002</v>
      </c>
      <c r="C37" s="10" t="s">
        <v>404</v>
      </c>
      <c r="D37" s="10"/>
      <c r="E37" s="28">
        <f>B37*12*365/325851</f>
        <v>24.46394210850972</v>
      </c>
      <c r="F37" s="6" t="s">
        <v>286</v>
      </c>
      <c r="G37" s="6"/>
      <c r="H37" s="19"/>
      <c r="I37" s="6"/>
    </row>
    <row r="38" spans="2:9" ht="12.75">
      <c r="B38" s="162">
        <f>C6*0.07</f>
        <v>14.63</v>
      </c>
      <c r="C38" s="10" t="s">
        <v>405</v>
      </c>
      <c r="D38" s="10"/>
      <c r="E38" s="171">
        <f>B38*2.2*365/325851</f>
        <v>0.0360529505817076</v>
      </c>
      <c r="F38" s="6" t="s">
        <v>286</v>
      </c>
      <c r="G38" s="6"/>
      <c r="H38" s="19"/>
      <c r="I38" s="6"/>
    </row>
    <row r="39" spans="3:9" ht="12.75">
      <c r="C39" s="11"/>
      <c r="D39" s="14" t="s">
        <v>246</v>
      </c>
      <c r="E39" s="165">
        <f>SUM(E37:E38)</f>
        <v>24.49999505909143</v>
      </c>
      <c r="F39" s="6" t="s">
        <v>286</v>
      </c>
      <c r="G39" s="6"/>
      <c r="H39" s="19"/>
      <c r="I39" s="6"/>
    </row>
    <row r="40" spans="1:9" ht="12.75">
      <c r="A40" s="6"/>
      <c r="B40" s="6"/>
      <c r="C40" s="19"/>
      <c r="D40" s="6"/>
      <c r="E40" s="6"/>
      <c r="F40" s="6"/>
      <c r="G40" s="6"/>
      <c r="H40" s="19"/>
      <c r="I40" s="6"/>
    </row>
    <row r="41" spans="1:9" ht="12.75">
      <c r="A41" s="214" t="s">
        <v>46</v>
      </c>
      <c r="B41" s="6"/>
      <c r="C41" s="19"/>
      <c r="D41" s="6"/>
      <c r="E41" s="6"/>
      <c r="F41" s="6"/>
      <c r="G41" s="6"/>
      <c r="H41" s="19"/>
      <c r="I41" s="6"/>
    </row>
    <row r="42" spans="1:9" ht="12.75">
      <c r="A42" s="6" t="s">
        <v>279</v>
      </c>
      <c r="C42" s="19"/>
      <c r="D42" s="6"/>
      <c r="E42" s="6"/>
      <c r="F42" s="6"/>
      <c r="G42" s="6"/>
      <c r="H42" s="19"/>
      <c r="I42" s="6"/>
    </row>
    <row r="43" spans="1:9" ht="12.75">
      <c r="A43" s="6"/>
      <c r="B43" s="162">
        <f>E12/12</f>
        <v>3886.4320000000002</v>
      </c>
      <c r="C43" s="6" t="s">
        <v>322</v>
      </c>
      <c r="D43" s="6"/>
      <c r="E43" s="6"/>
      <c r="F43" s="6"/>
      <c r="G43" s="6"/>
      <c r="H43" s="19"/>
      <c r="I43" s="6"/>
    </row>
    <row r="44" spans="1:9" ht="12.75">
      <c r="A44" s="6"/>
      <c r="C44" s="19"/>
      <c r="D44" s="14" t="s">
        <v>248</v>
      </c>
      <c r="E44" s="28">
        <f>B43*10*365/325851</f>
        <v>43.53362978784782</v>
      </c>
      <c r="F44" s="6" t="s">
        <v>286</v>
      </c>
      <c r="G44" s="6"/>
      <c r="H44" s="19"/>
      <c r="I44" s="6"/>
    </row>
    <row r="45" spans="1:9" ht="12.75">
      <c r="A45" s="6"/>
      <c r="C45" s="19"/>
      <c r="D45" s="14"/>
      <c r="E45" s="28"/>
      <c r="F45" s="6"/>
      <c r="G45" s="6"/>
      <c r="H45" s="19"/>
      <c r="I45" s="6"/>
    </row>
    <row r="46" spans="1:9" ht="12.75">
      <c r="A46" s="6" t="s">
        <v>258</v>
      </c>
      <c r="C46" s="19"/>
      <c r="D46" s="6"/>
      <c r="E46" s="28"/>
      <c r="F46" s="6"/>
      <c r="G46" s="6"/>
      <c r="H46" s="19"/>
      <c r="I46" s="6"/>
    </row>
    <row r="47" spans="2:9" ht="12.75">
      <c r="B47" s="6" t="s">
        <v>47</v>
      </c>
      <c r="C47" s="19"/>
      <c r="D47" s="6"/>
      <c r="E47" s="6"/>
      <c r="F47" s="6"/>
      <c r="G47" s="6"/>
      <c r="H47" s="19"/>
      <c r="I47" s="6"/>
    </row>
    <row r="48" spans="2:9" ht="12.75">
      <c r="B48" s="14">
        <f>B4*0.41</f>
        <v>10455</v>
      </c>
      <c r="C48" s="10" t="s">
        <v>406</v>
      </c>
      <c r="D48" s="10"/>
      <c r="E48" s="170"/>
      <c r="F48" s="6"/>
      <c r="G48" s="6"/>
      <c r="H48" s="19"/>
      <c r="I48" s="6"/>
    </row>
    <row r="49" spans="2:9" ht="12.75">
      <c r="B49" s="162">
        <f>B48-B43</f>
        <v>6568.567999999999</v>
      </c>
      <c r="C49" s="367" t="s">
        <v>351</v>
      </c>
      <c r="D49" s="368"/>
      <c r="E49" s="170"/>
      <c r="F49" s="6"/>
      <c r="G49" s="6"/>
      <c r="H49" s="19"/>
      <c r="I49" s="6"/>
    </row>
    <row r="50" spans="3:9" ht="12.75">
      <c r="C50" s="368"/>
      <c r="D50" s="368"/>
      <c r="E50" s="28">
        <f>B49*10*365/325851</f>
        <v>73.57741176181752</v>
      </c>
      <c r="F50" s="6" t="s">
        <v>286</v>
      </c>
      <c r="G50" s="6"/>
      <c r="H50" s="19"/>
      <c r="I50" s="6"/>
    </row>
    <row r="51" spans="2:9" ht="12.75">
      <c r="B51" s="166">
        <f>C4*0.41</f>
        <v>29.52</v>
      </c>
      <c r="C51" s="10" t="s">
        <v>407</v>
      </c>
      <c r="D51" s="164"/>
      <c r="E51" s="171">
        <f>B51*2.2*365/325851</f>
        <v>0.0727466234567333</v>
      </c>
      <c r="F51" s="6" t="s">
        <v>286</v>
      </c>
      <c r="G51" s="6"/>
      <c r="H51" s="19"/>
      <c r="I51" s="6"/>
    </row>
    <row r="52" spans="3:9" ht="12.75">
      <c r="C52" s="19"/>
      <c r="D52" s="14" t="s">
        <v>247</v>
      </c>
      <c r="E52" s="28">
        <f>SUM(E48:E51)+E44</f>
        <v>117.18378817312208</v>
      </c>
      <c r="F52" s="6" t="s">
        <v>286</v>
      </c>
      <c r="G52" s="6"/>
      <c r="H52" s="19"/>
      <c r="I52" s="6"/>
    </row>
    <row r="53" spans="1:9" ht="15.75">
      <c r="A53" s="32" t="s">
        <v>324</v>
      </c>
      <c r="B53" s="173"/>
      <c r="C53" s="173"/>
      <c r="D53" s="173"/>
      <c r="E53" s="173"/>
      <c r="F53" s="173"/>
      <c r="G53" s="173"/>
      <c r="H53" s="253"/>
      <c r="I53" s="173"/>
    </row>
    <row r="54" spans="1:9" ht="12.75">
      <c r="A54" s="174" t="s">
        <v>139</v>
      </c>
      <c r="B54" s="173"/>
      <c r="C54" s="173"/>
      <c r="F54" s="175"/>
      <c r="G54" s="175"/>
      <c r="H54" s="175"/>
      <c r="I54" s="175"/>
    </row>
    <row r="55" spans="1:9" ht="15.75">
      <c r="A55" s="84"/>
      <c r="B55" s="175"/>
      <c r="C55" s="186" t="s">
        <v>254</v>
      </c>
      <c r="D55" s="186" t="s">
        <v>35</v>
      </c>
      <c r="E55" s="175"/>
      <c r="F55" s="186"/>
      <c r="I55" s="175"/>
    </row>
    <row r="56" spans="1:6" ht="12.75">
      <c r="A56" s="9" t="s">
        <v>46</v>
      </c>
      <c r="B56" s="19"/>
      <c r="C56" s="85"/>
      <c r="D56" s="86"/>
      <c r="E56" s="6"/>
      <c r="F56" s="6"/>
    </row>
    <row r="57" spans="1:6" ht="12.75">
      <c r="A57" s="10" t="s">
        <v>162</v>
      </c>
      <c r="B57" s="19"/>
      <c r="C57" s="353">
        <v>4.5165</v>
      </c>
      <c r="D57" s="28">
        <f>C57*0.5</f>
        <v>2.25825</v>
      </c>
      <c r="E57" s="6"/>
      <c r="F57" s="6"/>
    </row>
    <row r="58" spans="1:9" ht="12.75">
      <c r="A58" s="16" t="s">
        <v>163</v>
      </c>
      <c r="B58" s="21"/>
      <c r="C58" s="352">
        <v>27.7062</v>
      </c>
      <c r="D58" s="28">
        <f>C58*0.5</f>
        <v>13.8531</v>
      </c>
      <c r="E58" s="16"/>
      <c r="F58" s="16" t="s">
        <v>48</v>
      </c>
      <c r="I58" s="169"/>
    </row>
    <row r="59" spans="1:6" ht="12.75">
      <c r="A59" s="16" t="s">
        <v>157</v>
      </c>
      <c r="B59" s="21"/>
      <c r="C59" s="352">
        <v>143.5033</v>
      </c>
      <c r="D59" s="28">
        <f>C59*0.5</f>
        <v>71.75165</v>
      </c>
      <c r="E59" s="16"/>
      <c r="F59" s="16"/>
    </row>
    <row r="60" spans="1:6" ht="12.75">
      <c r="A60" s="16" t="s">
        <v>158</v>
      </c>
      <c r="B60" s="21"/>
      <c r="C60" s="352">
        <v>48.1131</v>
      </c>
      <c r="D60" s="28">
        <f>C60*0.5</f>
        <v>24.05655</v>
      </c>
      <c r="E60" s="16"/>
      <c r="F60" s="16"/>
    </row>
    <row r="61" spans="1:6" ht="12.75">
      <c r="A61" s="14" t="s">
        <v>73</v>
      </c>
      <c r="B61" s="21"/>
      <c r="C61" s="87">
        <f>SUM(C57:C60)</f>
        <v>223.8391</v>
      </c>
      <c r="D61" s="87">
        <f>SUM(D57:D60)</f>
        <v>111.91955</v>
      </c>
      <c r="E61" s="16"/>
      <c r="F61" s="16"/>
    </row>
    <row r="62" spans="1:6" ht="12.75">
      <c r="A62" s="7" t="s">
        <v>40</v>
      </c>
      <c r="B62" s="19"/>
      <c r="C62" s="27"/>
      <c r="D62" s="27"/>
      <c r="E62" s="16"/>
      <c r="F62" s="6"/>
    </row>
    <row r="63" spans="1:6" ht="13.5">
      <c r="A63" s="16" t="s">
        <v>255</v>
      </c>
      <c r="B63" s="21"/>
      <c r="C63" s="352">
        <v>113.6432</v>
      </c>
      <c r="D63" s="352">
        <f>(C63-94.8668)*0.5</f>
        <v>9.388199999999998</v>
      </c>
      <c r="E63" s="16"/>
      <c r="F63" s="16"/>
    </row>
    <row r="64" spans="1:9" ht="13.5">
      <c r="A64" s="16" t="s">
        <v>256</v>
      </c>
      <c r="B64" s="21"/>
      <c r="C64" s="356">
        <f>Freeport!B21+890.33+0+85.6253</f>
        <v>5372.7753</v>
      </c>
      <c r="D64" s="357">
        <f>((0+(85.6253-0))*0.5)+890.33+Freeport!B22+cliffgila!W24</f>
        <v>3629.8959833333333</v>
      </c>
      <c r="F64" s="295"/>
      <c r="G64" s="295"/>
      <c r="H64" s="295"/>
      <c r="I64" s="295"/>
    </row>
    <row r="65" spans="1:6" ht="12.75">
      <c r="A65" s="6" t="s">
        <v>159</v>
      </c>
      <c r="B65" s="19"/>
      <c r="C65" s="352">
        <v>10.2972</v>
      </c>
      <c r="D65" s="28">
        <f>C65*0.5</f>
        <v>5.1486</v>
      </c>
      <c r="E65" s="6"/>
      <c r="F65" s="6"/>
    </row>
    <row r="66" spans="1:6" ht="12.75">
      <c r="A66" s="14" t="s">
        <v>73</v>
      </c>
      <c r="B66" s="19"/>
      <c r="C66" s="88">
        <f>SUM(C63:C65)</f>
        <v>5496.715700000001</v>
      </c>
      <c r="D66" s="88">
        <f>SUM(D63:D65)</f>
        <v>3644.432783333333</v>
      </c>
      <c r="E66" s="6"/>
      <c r="F66" s="6"/>
    </row>
    <row r="67" spans="1:6" ht="12.75">
      <c r="A67" s="7" t="s">
        <v>44</v>
      </c>
      <c r="B67" s="19"/>
      <c r="C67" s="27"/>
      <c r="D67" s="27"/>
      <c r="E67" s="6"/>
      <c r="F67" s="6"/>
    </row>
    <row r="68" spans="1:6" ht="12.75">
      <c r="A68" s="6" t="s">
        <v>160</v>
      </c>
      <c r="B68" s="19"/>
      <c r="C68" s="354">
        <v>24.9097</v>
      </c>
      <c r="D68" s="87">
        <f>C68*0.5</f>
        <v>12.45485</v>
      </c>
      <c r="E68" s="6"/>
      <c r="F68" s="7" t="s">
        <v>49</v>
      </c>
    </row>
    <row r="69" spans="1:6" ht="12.75">
      <c r="A69" s="7" t="s">
        <v>42</v>
      </c>
      <c r="B69" s="19"/>
      <c r="C69" s="27"/>
      <c r="D69" s="27"/>
      <c r="E69" s="6"/>
      <c r="F69" s="6"/>
    </row>
    <row r="70" spans="1:6" ht="12.75">
      <c r="A70" s="6" t="s">
        <v>161</v>
      </c>
      <c r="B70" s="19"/>
      <c r="C70" s="355">
        <v>8.1769</v>
      </c>
      <c r="D70" s="87">
        <f>C70*0.5</f>
        <v>4.08845</v>
      </c>
      <c r="E70" s="6"/>
      <c r="F70" s="6"/>
    </row>
    <row r="71" spans="1:8" ht="12.75">
      <c r="A71" s="6"/>
      <c r="B71" s="19"/>
      <c r="C71" s="6"/>
      <c r="D71" s="6"/>
      <c r="E71" s="6"/>
      <c r="F71" s="6"/>
      <c r="G71" s="19"/>
      <c r="H71" s="6"/>
    </row>
    <row r="72" spans="1:8" ht="13.5">
      <c r="A72" s="371" t="s">
        <v>396</v>
      </c>
      <c r="B72" s="372"/>
      <c r="C72" s="372"/>
      <c r="D72" s="372"/>
      <c r="E72" s="372"/>
      <c r="F72" s="372"/>
      <c r="G72" s="372"/>
      <c r="H72" s="6"/>
    </row>
    <row r="73" spans="1:9" s="176" customFormat="1" ht="12.75">
      <c r="A73" s="375" t="s">
        <v>357</v>
      </c>
      <c r="B73" s="376"/>
      <c r="C73" s="376"/>
      <c r="D73" s="376"/>
      <c r="E73" s="376"/>
      <c r="F73" s="376"/>
      <c r="G73" s="376"/>
      <c r="H73" s="376"/>
      <c r="I73" s="207"/>
    </row>
    <row r="74" spans="1:9" s="176" customFormat="1" ht="12.75">
      <c r="A74" s="376"/>
      <c r="B74" s="376"/>
      <c r="C74" s="376"/>
      <c r="D74" s="376"/>
      <c r="E74" s="376"/>
      <c r="F74" s="376"/>
      <c r="G74" s="376"/>
      <c r="H74" s="376"/>
      <c r="I74" s="207"/>
    </row>
    <row r="75" spans="1:8" ht="12.75">
      <c r="A75" s="6"/>
      <c r="B75" s="19"/>
      <c r="C75" s="6"/>
      <c r="D75" s="6"/>
      <c r="E75" s="6"/>
      <c r="F75" s="6"/>
      <c r="G75" s="19"/>
      <c r="H75" s="6"/>
    </row>
    <row r="76" spans="1:9" ht="15.75">
      <c r="A76" s="32" t="s">
        <v>257</v>
      </c>
      <c r="B76" s="193"/>
      <c r="C76" s="193"/>
      <c r="D76" s="193"/>
      <c r="E76" s="193"/>
      <c r="F76" s="193"/>
      <c r="H76" s="6"/>
      <c r="I76" s="19"/>
    </row>
    <row r="77" spans="1:9" s="172" customFormat="1" ht="12.75">
      <c r="A77" s="167"/>
      <c r="B77" s="9"/>
      <c r="C77" s="6"/>
      <c r="D77" s="19"/>
      <c r="E77" s="6"/>
      <c r="F77" s="6"/>
      <c r="G77" s="373" t="s">
        <v>377</v>
      </c>
      <c r="H77" s="374"/>
      <c r="I77" s="206"/>
    </row>
    <row r="78" spans="1:9" ht="12.75">
      <c r="A78" s="5" t="s">
        <v>50</v>
      </c>
      <c r="B78" s="5" t="s">
        <v>51</v>
      </c>
      <c r="C78" s="5" t="s">
        <v>52</v>
      </c>
      <c r="D78" s="5" t="s">
        <v>53</v>
      </c>
      <c r="E78" s="9" t="s">
        <v>69</v>
      </c>
      <c r="F78" s="9" t="s">
        <v>71</v>
      </c>
      <c r="G78" s="374"/>
      <c r="H78" s="374"/>
      <c r="I78" s="173"/>
    </row>
    <row r="79" spans="1:8" ht="12.75">
      <c r="A79" s="5"/>
      <c r="B79" s="5" t="s">
        <v>13</v>
      </c>
      <c r="C79" s="5" t="s">
        <v>54</v>
      </c>
      <c r="D79" s="5" t="s">
        <v>55</v>
      </c>
      <c r="E79" s="7" t="s">
        <v>70</v>
      </c>
      <c r="F79" s="5" t="s">
        <v>72</v>
      </c>
      <c r="G79" s="205" t="s">
        <v>89</v>
      </c>
      <c r="H79" s="311">
        <v>0.02</v>
      </c>
    </row>
    <row r="80" spans="2:11" ht="12.75">
      <c r="B80" s="5"/>
      <c r="C80" s="5"/>
      <c r="D80" s="5"/>
      <c r="E80" s="7"/>
      <c r="F80" s="5"/>
      <c r="G80" s="205" t="s">
        <v>90</v>
      </c>
      <c r="H80" s="311">
        <v>0.04</v>
      </c>
      <c r="K80" s="177"/>
    </row>
    <row r="81" spans="1:8" ht="12.75">
      <c r="A81" s="10" t="s">
        <v>184</v>
      </c>
      <c r="B81" s="14">
        <v>46.9</v>
      </c>
      <c r="C81">
        <f>H91</f>
        <v>14.930000000000001</v>
      </c>
      <c r="D81" s="15">
        <f>(B81-C81)/12</f>
        <v>2.6641666666666666</v>
      </c>
      <c r="E81" s="15">
        <v>89</v>
      </c>
      <c r="F81" s="198">
        <f>D81*E81</f>
        <v>237.11083333333332</v>
      </c>
      <c r="G81" s="205" t="s">
        <v>91</v>
      </c>
      <c r="H81" s="311">
        <v>0.83</v>
      </c>
    </row>
    <row r="82" spans="1:8" ht="12.75">
      <c r="A82" s="10" t="s">
        <v>185</v>
      </c>
      <c r="B82" s="14">
        <v>44.8</v>
      </c>
      <c r="C82" s="40">
        <f>H91*1.25</f>
        <v>18.6625</v>
      </c>
      <c r="D82" s="15">
        <f>(B82-C82)/12</f>
        <v>2.1781249999999996</v>
      </c>
      <c r="E82" s="26">
        <v>55</v>
      </c>
      <c r="F82" s="198">
        <f>D82*E82</f>
        <v>119.79687499999999</v>
      </c>
      <c r="G82" s="205" t="s">
        <v>92</v>
      </c>
      <c r="H82" s="311">
        <v>0.62</v>
      </c>
    </row>
    <row r="83" spans="1:8" ht="12.75">
      <c r="A83" s="14" t="s">
        <v>73</v>
      </c>
      <c r="B83" s="6"/>
      <c r="C83" s="19"/>
      <c r="D83" s="6"/>
      <c r="E83" s="6"/>
      <c r="F83" s="15">
        <f>F81+F82</f>
        <v>356.9077083333333</v>
      </c>
      <c r="G83" s="205" t="s">
        <v>23</v>
      </c>
      <c r="H83" s="311">
        <v>0</v>
      </c>
    </row>
    <row r="84" spans="2:8" ht="12.75">
      <c r="B84" s="10"/>
      <c r="C84" s="6"/>
      <c r="D84" s="19"/>
      <c r="E84" s="6"/>
      <c r="F84" s="6"/>
      <c r="G84" s="205" t="s">
        <v>93</v>
      </c>
      <c r="H84" s="311">
        <v>0.26</v>
      </c>
    </row>
    <row r="85" spans="3:8" ht="12.75">
      <c r="C85" s="6"/>
      <c r="D85" s="19"/>
      <c r="E85" s="6"/>
      <c r="F85" s="6"/>
      <c r="G85" s="205" t="s">
        <v>94</v>
      </c>
      <c r="H85" s="311">
        <v>4.3</v>
      </c>
    </row>
    <row r="86" spans="1:8" ht="12.75">
      <c r="A86" s="369" t="s">
        <v>390</v>
      </c>
      <c r="B86" s="370"/>
      <c r="C86" s="370"/>
      <c r="D86" s="370"/>
      <c r="E86" s="370"/>
      <c r="F86" s="358">
        <v>205.28</v>
      </c>
      <c r="G86" s="205" t="s">
        <v>95</v>
      </c>
      <c r="H86" s="311">
        <v>3.27</v>
      </c>
    </row>
    <row r="87" spans="2:8" ht="12.75">
      <c r="B87" s="10"/>
      <c r="C87" s="2"/>
      <c r="D87" s="6"/>
      <c r="E87" s="17"/>
      <c r="F87" s="12"/>
      <c r="G87" s="205" t="s">
        <v>96</v>
      </c>
      <c r="H87" s="311">
        <v>2.55</v>
      </c>
    </row>
    <row r="88" spans="2:8" ht="12.75">
      <c r="B88" s="19"/>
      <c r="C88" s="6"/>
      <c r="D88" s="6"/>
      <c r="E88" s="25"/>
      <c r="F88" s="6"/>
      <c r="G88" s="205" t="s">
        <v>97</v>
      </c>
      <c r="H88" s="311">
        <v>1.56</v>
      </c>
    </row>
    <row r="89" spans="2:8" ht="12.75">
      <c r="B89" s="10"/>
      <c r="C89" s="6"/>
      <c r="D89" s="19"/>
      <c r="E89" s="6"/>
      <c r="F89" s="6"/>
      <c r="G89" s="205" t="s">
        <v>98</v>
      </c>
      <c r="H89" s="311">
        <v>0.48</v>
      </c>
    </row>
    <row r="90" spans="2:8" ht="12.75">
      <c r="B90" s="174"/>
      <c r="C90" s="174"/>
      <c r="D90" s="174"/>
      <c r="E90" s="174"/>
      <c r="F90" s="107"/>
      <c r="G90" s="205" t="s">
        <v>99</v>
      </c>
      <c r="H90" s="311">
        <v>1</v>
      </c>
    </row>
    <row r="91" spans="1:8" ht="12.75">
      <c r="A91" s="10" t="s">
        <v>287</v>
      </c>
      <c r="B91" s="174"/>
      <c r="C91" s="174"/>
      <c r="D91" s="174"/>
      <c r="E91" s="174"/>
      <c r="F91" s="15">
        <f>F83+F86</f>
        <v>562.1877083333333</v>
      </c>
      <c r="G91" s="205" t="s">
        <v>73</v>
      </c>
      <c r="H91" s="208">
        <f>SUM(H79:H90)</f>
        <v>14.930000000000001</v>
      </c>
    </row>
    <row r="92" spans="1:7" ht="12.75">
      <c r="A92" s="10"/>
      <c r="B92" s="6"/>
      <c r="C92" s="33"/>
      <c r="D92" s="19"/>
      <c r="E92" s="3"/>
      <c r="G92" s="6"/>
    </row>
    <row r="93" spans="1:7" ht="12.75">
      <c r="A93" s="93" t="s">
        <v>378</v>
      </c>
      <c r="B93" s="6"/>
      <c r="C93" s="33"/>
      <c r="D93" s="19"/>
      <c r="E93" s="3"/>
      <c r="G93" s="6"/>
    </row>
    <row r="94" spans="1:2" ht="12.75">
      <c r="A94" s="93" t="s">
        <v>379</v>
      </c>
      <c r="B94" s="6"/>
    </row>
    <row r="95" spans="1:2" ht="12.75">
      <c r="A95" s="10" t="s">
        <v>391</v>
      </c>
      <c r="B95" s="6"/>
    </row>
    <row r="96" spans="1:9" ht="12.75">
      <c r="A96" s="299"/>
      <c r="B96" s="6"/>
      <c r="C96" s="19"/>
      <c r="D96" s="6"/>
      <c r="E96" s="6"/>
      <c r="F96" s="6"/>
      <c r="G96" s="6"/>
      <c r="H96" s="19"/>
      <c r="I96" s="6"/>
    </row>
    <row r="97" spans="1:9" ht="15.75">
      <c r="A97" s="32" t="s">
        <v>281</v>
      </c>
      <c r="C97" s="58"/>
      <c r="D97" s="58"/>
      <c r="E97" s="58"/>
      <c r="F97" s="58"/>
      <c r="G97" s="58"/>
      <c r="H97" s="189"/>
      <c r="I97" s="189"/>
    </row>
    <row r="98" spans="1:8" ht="12.75">
      <c r="A98" s="7"/>
      <c r="B98" s="5" t="s">
        <v>51</v>
      </c>
      <c r="C98" s="5"/>
      <c r="D98" s="5"/>
      <c r="E98" s="5" t="s">
        <v>76</v>
      </c>
      <c r="F98" s="5"/>
      <c r="G98" s="210"/>
      <c r="H98" s="211"/>
    </row>
    <row r="99" spans="1:8" ht="12.75">
      <c r="A99" s="7"/>
      <c r="B99" s="212" t="s">
        <v>56</v>
      </c>
      <c r="C99" s="5" t="s">
        <v>52</v>
      </c>
      <c r="D99" s="5" t="s">
        <v>75</v>
      </c>
      <c r="E99" s="5" t="s">
        <v>68</v>
      </c>
      <c r="F99" s="5" t="s">
        <v>275</v>
      </c>
      <c r="G99" s="7" t="s">
        <v>274</v>
      </c>
      <c r="H99" s="5" t="s">
        <v>12</v>
      </c>
    </row>
    <row r="100" spans="1:8" ht="12.75">
      <c r="A100" s="5" t="s">
        <v>57</v>
      </c>
      <c r="B100" s="5" t="s">
        <v>78</v>
      </c>
      <c r="C100" s="212" t="s">
        <v>58</v>
      </c>
      <c r="D100" s="5" t="s">
        <v>55</v>
      </c>
      <c r="E100" s="5" t="s">
        <v>77</v>
      </c>
      <c r="F100" s="5" t="s">
        <v>79</v>
      </c>
      <c r="G100" s="213"/>
      <c r="H100" s="5" t="s">
        <v>74</v>
      </c>
    </row>
    <row r="101" spans="1:8" ht="4.5" customHeight="1">
      <c r="A101" s="29"/>
      <c r="B101" s="30"/>
      <c r="C101" s="29"/>
      <c r="D101" s="31"/>
      <c r="E101" s="24"/>
      <c r="F101" s="24"/>
      <c r="G101" s="24"/>
      <c r="H101" s="24"/>
    </row>
    <row r="102" spans="1:6" ht="12.75">
      <c r="A102" s="6"/>
      <c r="B102" s="19"/>
      <c r="C102" s="6"/>
      <c r="D102" s="6"/>
      <c r="E102" s="19"/>
      <c r="F102" s="6"/>
    </row>
    <row r="103" spans="1:8" ht="12.75">
      <c r="A103" s="6" t="s">
        <v>59</v>
      </c>
      <c r="B103" s="216">
        <f>luna!C24*12</f>
        <v>47.89999999999999</v>
      </c>
      <c r="C103" s="199">
        <f>luna!D24*12</f>
        <v>17.97</v>
      </c>
      <c r="D103" s="15">
        <f aca="true" t="shared" si="0" ref="D103:D111">(B103-C103)/12</f>
        <v>2.494166666666666</v>
      </c>
      <c r="E103" s="26">
        <v>0.31</v>
      </c>
      <c r="F103" s="15">
        <f aca="true" t="shared" si="1" ref="F103:F111">D103*E103</f>
        <v>0.7731916666666665</v>
      </c>
      <c r="G103" s="14"/>
      <c r="H103" s="205"/>
    </row>
    <row r="104" spans="1:8" ht="12.75">
      <c r="A104" s="6" t="s">
        <v>60</v>
      </c>
      <c r="B104" s="171">
        <f>apachearagon!C24*12</f>
        <v>52.68000000000001</v>
      </c>
      <c r="C104" s="200">
        <f>apachearagon!D24*12</f>
        <v>17.97</v>
      </c>
      <c r="D104" s="15">
        <f t="shared" si="0"/>
        <v>2.8925000000000005</v>
      </c>
      <c r="E104" s="26">
        <v>0.31</v>
      </c>
      <c r="F104" s="15">
        <f t="shared" si="1"/>
        <v>0.8966750000000001</v>
      </c>
      <c r="G104" s="203"/>
      <c r="H104" s="205"/>
    </row>
    <row r="105" spans="1:8" ht="12.75">
      <c r="A105" s="6" t="s">
        <v>61</v>
      </c>
      <c r="B105" s="171">
        <f>reserve!C24*12</f>
        <v>55.9</v>
      </c>
      <c r="C105" s="199">
        <f>reserve!D24*12</f>
        <v>11.920000000000002</v>
      </c>
      <c r="D105" s="15">
        <f t="shared" si="0"/>
        <v>3.6649999999999996</v>
      </c>
      <c r="E105" s="26">
        <v>0.31</v>
      </c>
      <c r="F105" s="15">
        <f t="shared" si="1"/>
        <v>1.1361499999999998</v>
      </c>
      <c r="G105" s="14"/>
      <c r="H105" s="205"/>
    </row>
    <row r="106" spans="1:8" ht="12.75">
      <c r="A106" s="6" t="s">
        <v>62</v>
      </c>
      <c r="B106" s="171">
        <f>glenwood!C24*12</f>
        <v>71.05000000000001</v>
      </c>
      <c r="C106" s="199">
        <f>glenwood!D24*12</f>
        <v>16.200000000000003</v>
      </c>
      <c r="D106" s="15">
        <f t="shared" si="0"/>
        <v>4.570833333333334</v>
      </c>
      <c r="E106" s="26">
        <v>0.31</v>
      </c>
      <c r="F106" s="15">
        <f t="shared" si="1"/>
        <v>1.4169583333333335</v>
      </c>
      <c r="G106" s="217"/>
      <c r="H106" s="205"/>
    </row>
    <row r="107" spans="1:8" ht="12.75">
      <c r="A107" s="6" t="s">
        <v>63</v>
      </c>
      <c r="B107" s="171">
        <f>uppergila!C24*12</f>
        <v>50.28999999999999</v>
      </c>
      <c r="C107" s="200">
        <f>uppergila!D24*12</f>
        <v>14.93</v>
      </c>
      <c r="D107" s="15">
        <f t="shared" si="0"/>
        <v>2.946666666666666</v>
      </c>
      <c r="E107" s="26">
        <v>0.3</v>
      </c>
      <c r="F107" s="15">
        <f t="shared" si="1"/>
        <v>0.8839999999999998</v>
      </c>
      <c r="G107" s="203"/>
      <c r="H107" s="205"/>
    </row>
    <row r="108" spans="1:8" ht="12.75">
      <c r="A108" s="6" t="s">
        <v>64</v>
      </c>
      <c r="B108" s="216">
        <f>cliffgila!C24*12</f>
        <v>71.05000000000001</v>
      </c>
      <c r="C108" s="201">
        <f>cliffgila!D24*12</f>
        <v>15.91</v>
      </c>
      <c r="D108" s="15">
        <f t="shared" si="0"/>
        <v>4.5950000000000015</v>
      </c>
      <c r="E108" s="15">
        <v>0.3</v>
      </c>
      <c r="F108" s="15">
        <f t="shared" si="1"/>
        <v>1.3785000000000005</v>
      </c>
      <c r="G108" s="14"/>
      <c r="H108" s="205"/>
    </row>
    <row r="109" spans="1:8" ht="12.75">
      <c r="A109" s="6" t="s">
        <v>65</v>
      </c>
      <c r="B109" s="171">
        <f>redrock!C24*12</f>
        <v>71.05000000000001</v>
      </c>
      <c r="C109" s="201">
        <f>redrock!D24*12</f>
        <v>12.09</v>
      </c>
      <c r="D109" s="15">
        <f t="shared" si="0"/>
        <v>4.913333333333334</v>
      </c>
      <c r="E109" s="15">
        <v>0.3</v>
      </c>
      <c r="F109" s="15">
        <f t="shared" si="1"/>
        <v>1.4740000000000002</v>
      </c>
      <c r="G109" s="204"/>
      <c r="H109" s="205"/>
    </row>
    <row r="110" spans="1:8" ht="12.75">
      <c r="A110" s="6" t="s">
        <v>66</v>
      </c>
      <c r="B110" s="216">
        <f>virden!C23*12</f>
        <v>71.05000000000001</v>
      </c>
      <c r="C110" s="201">
        <f>virden!D23*12</f>
        <v>13.469999999999999</v>
      </c>
      <c r="D110" s="15">
        <f t="shared" si="0"/>
        <v>4.798333333333335</v>
      </c>
      <c r="E110" s="15">
        <v>0.3</v>
      </c>
      <c r="F110" s="15">
        <f t="shared" si="1"/>
        <v>1.4395000000000004</v>
      </c>
      <c r="G110" s="204"/>
      <c r="H110" s="205"/>
    </row>
    <row r="111" spans="1:8" ht="12.75">
      <c r="A111" s="6" t="s">
        <v>44</v>
      </c>
      <c r="B111" s="171">
        <f>sansimon!C23*12</f>
        <v>79.83999999999999</v>
      </c>
      <c r="C111" s="200">
        <f>sansimon!D23*12</f>
        <v>10.79</v>
      </c>
      <c r="D111" s="15">
        <f t="shared" si="0"/>
        <v>5.7541666666666655</v>
      </c>
      <c r="E111" s="26">
        <v>0.26</v>
      </c>
      <c r="F111" s="15">
        <f t="shared" si="1"/>
        <v>1.496083333333333</v>
      </c>
      <c r="G111" s="204"/>
      <c r="H111" s="205"/>
    </row>
    <row r="112" spans="2:8" ht="12.75">
      <c r="B112" s="14"/>
      <c r="C112" s="171"/>
      <c r="D112" s="200"/>
      <c r="E112" s="15"/>
      <c r="F112" s="26"/>
      <c r="G112" s="15"/>
      <c r="H112" s="205"/>
    </row>
    <row r="113" spans="1:9" ht="12.75">
      <c r="A113" s="214" t="s">
        <v>46</v>
      </c>
      <c r="B113" s="204"/>
      <c r="C113" s="203"/>
      <c r="D113" s="14"/>
      <c r="E113" s="14"/>
      <c r="F113" s="14"/>
      <c r="G113" s="14"/>
      <c r="H113" s="203"/>
      <c r="I113" s="6"/>
    </row>
    <row r="114" spans="1:9" ht="12.75">
      <c r="A114" s="6" t="s">
        <v>258</v>
      </c>
      <c r="B114" s="218"/>
      <c r="C114" s="203"/>
      <c r="D114" s="14"/>
      <c r="E114" s="14"/>
      <c r="F114" s="14"/>
      <c r="G114" s="14"/>
      <c r="H114" s="203"/>
      <c r="I114" s="6"/>
    </row>
    <row r="115" spans="1:9" ht="12.75">
      <c r="A115" s="215" t="s">
        <v>59</v>
      </c>
      <c r="B115" s="202">
        <f aca="true" t="shared" si="2" ref="B115:C118">B103</f>
        <v>47.89999999999999</v>
      </c>
      <c r="C115" s="26">
        <f t="shared" si="2"/>
        <v>17.97</v>
      </c>
      <c r="D115" s="15">
        <f>(B115-C115)/12</f>
        <v>2.494166666666666</v>
      </c>
      <c r="E115" s="15">
        <f>E103</f>
        <v>0.31</v>
      </c>
      <c r="F115" s="15">
        <f>D115*E115</f>
        <v>0.7731916666666665</v>
      </c>
      <c r="G115" s="14">
        <v>30</v>
      </c>
      <c r="H115" s="15">
        <f>F115*G115</f>
        <v>23.195749999999997</v>
      </c>
      <c r="I115" s="6"/>
    </row>
    <row r="116" spans="1:9" ht="12.75">
      <c r="A116" s="215" t="s">
        <v>67</v>
      </c>
      <c r="B116" s="202">
        <f t="shared" si="2"/>
        <v>52.68000000000001</v>
      </c>
      <c r="C116" s="26">
        <f t="shared" si="2"/>
        <v>17.97</v>
      </c>
      <c r="D116" s="15">
        <f>(B116-C116)/12</f>
        <v>2.8925000000000005</v>
      </c>
      <c r="E116" s="15">
        <f>E104</f>
        <v>0.31</v>
      </c>
      <c r="F116" s="15">
        <f>D116*E116</f>
        <v>0.8966750000000001</v>
      </c>
      <c r="G116" s="203">
        <v>11</v>
      </c>
      <c r="H116" s="15">
        <f>F116*G116</f>
        <v>9.863425000000001</v>
      </c>
      <c r="I116" s="6"/>
    </row>
    <row r="117" spans="1:9" ht="12.75">
      <c r="A117" s="215" t="s">
        <v>61</v>
      </c>
      <c r="B117" s="202">
        <f t="shared" si="2"/>
        <v>55.9</v>
      </c>
      <c r="C117" s="26">
        <f t="shared" si="2"/>
        <v>11.920000000000002</v>
      </c>
      <c r="D117" s="15">
        <f>(B117-C117)/12</f>
        <v>3.6649999999999996</v>
      </c>
      <c r="E117" s="15">
        <f>E105</f>
        <v>0.31</v>
      </c>
      <c r="F117" s="15">
        <f>D117*E117</f>
        <v>1.1361499999999998</v>
      </c>
      <c r="G117" s="14">
        <v>17</v>
      </c>
      <c r="H117" s="15">
        <f>F117*G117</f>
        <v>19.314549999999997</v>
      </c>
      <c r="I117" s="6"/>
    </row>
    <row r="118" spans="1:9" ht="12.75">
      <c r="A118" s="215" t="s">
        <v>62</v>
      </c>
      <c r="B118" s="202">
        <f t="shared" si="2"/>
        <v>71.05000000000001</v>
      </c>
      <c r="C118" s="209">
        <f t="shared" si="2"/>
        <v>16.200000000000003</v>
      </c>
      <c r="D118" s="199">
        <f>(B118-C118)/12</f>
        <v>4.570833333333334</v>
      </c>
      <c r="E118" s="199">
        <f>E106</f>
        <v>0.31</v>
      </c>
      <c r="F118" s="199">
        <f>D118*E118</f>
        <v>1.4169583333333335</v>
      </c>
      <c r="G118" s="217">
        <v>167</v>
      </c>
      <c r="H118" s="15">
        <f>F118*G118</f>
        <v>236.6320416666667</v>
      </c>
      <c r="I118" s="34"/>
    </row>
    <row r="119" spans="1:9" ht="12.75">
      <c r="A119" s="14" t="s">
        <v>283</v>
      </c>
      <c r="B119" s="14"/>
      <c r="C119" s="203"/>
      <c r="D119" s="14"/>
      <c r="E119" s="14"/>
      <c r="F119" s="14"/>
      <c r="G119" s="204">
        <f>SUM(G115:G118)</f>
        <v>225</v>
      </c>
      <c r="H119" s="15">
        <f>SUM(H115:H118)</f>
        <v>289.0057666666667</v>
      </c>
      <c r="I119" s="6"/>
    </row>
    <row r="120" spans="1:9" ht="12.75">
      <c r="A120" s="6" t="s">
        <v>284</v>
      </c>
      <c r="B120" s="204"/>
      <c r="C120" s="203"/>
      <c r="D120" s="14"/>
      <c r="E120" s="14"/>
      <c r="F120" s="14"/>
      <c r="G120" s="204"/>
      <c r="H120" s="15">
        <f>H119*0.85</f>
        <v>245.6549016666667</v>
      </c>
      <c r="I120" s="19"/>
    </row>
    <row r="121" spans="2:9" ht="12.75">
      <c r="B121" s="204"/>
      <c r="C121" s="203"/>
      <c r="D121" s="14"/>
      <c r="E121" s="14"/>
      <c r="F121" s="14"/>
      <c r="G121" s="14"/>
      <c r="H121" s="203"/>
      <c r="I121" s="6"/>
    </row>
    <row r="122" spans="1:9" ht="12.75">
      <c r="A122" s="6" t="s">
        <v>279</v>
      </c>
      <c r="B122" s="204"/>
      <c r="C122" s="204"/>
      <c r="D122" s="204"/>
      <c r="E122" s="204"/>
      <c r="F122" s="204"/>
      <c r="G122" s="204"/>
      <c r="H122" s="204"/>
      <c r="I122" s="6"/>
    </row>
    <row r="123" spans="1:8" ht="12.75">
      <c r="A123" s="215" t="s">
        <v>273</v>
      </c>
      <c r="B123" s="171">
        <f>B107</f>
        <v>50.28999999999999</v>
      </c>
      <c r="C123" s="15">
        <f>_ftnref3</f>
        <v>14.93</v>
      </c>
      <c r="D123" s="15">
        <f>(B123-C123)/12</f>
        <v>2.946666666666666</v>
      </c>
      <c r="E123" s="15">
        <v>0.1</v>
      </c>
      <c r="F123" s="15">
        <f>D123*E123</f>
        <v>0.2946666666666666</v>
      </c>
      <c r="G123" s="14">
        <v>660</v>
      </c>
      <c r="H123" s="15">
        <f>F123*G123</f>
        <v>194.47999999999993</v>
      </c>
    </row>
    <row r="124" spans="1:9" ht="12.75">
      <c r="A124" s="6" t="s">
        <v>284</v>
      </c>
      <c r="B124" s="204"/>
      <c r="C124" s="219"/>
      <c r="D124" s="12"/>
      <c r="E124" s="12"/>
      <c r="F124" s="14"/>
      <c r="G124" s="204"/>
      <c r="H124" s="15">
        <f>H123*0.85</f>
        <v>165.30799999999994</v>
      </c>
      <c r="I124" s="19"/>
    </row>
    <row r="125" spans="1:9" ht="12.75">
      <c r="A125" s="6"/>
      <c r="B125" s="204"/>
      <c r="C125" s="219"/>
      <c r="D125" s="12"/>
      <c r="E125" s="12"/>
      <c r="F125" s="14"/>
      <c r="G125" s="204"/>
      <c r="H125" s="15"/>
      <c r="I125" s="19"/>
    </row>
    <row r="126" spans="1:9" ht="12.75">
      <c r="A126" s="10" t="s">
        <v>276</v>
      </c>
      <c r="B126" s="204"/>
      <c r="C126" s="203"/>
      <c r="D126" s="14"/>
      <c r="E126" s="14"/>
      <c r="F126" s="14"/>
      <c r="G126" s="14"/>
      <c r="H126" s="191">
        <f>H120+H124</f>
        <v>410.96290166666665</v>
      </c>
      <c r="I126" s="6"/>
    </row>
    <row r="127" spans="2:9" ht="12.75">
      <c r="B127" s="15"/>
      <c r="C127" s="14"/>
      <c r="D127" s="15"/>
      <c r="E127" s="14"/>
      <c r="F127" s="15"/>
      <c r="G127" s="220"/>
      <c r="H127" s="205"/>
      <c r="I127" s="6"/>
    </row>
    <row r="128" spans="1:9" ht="12.75">
      <c r="A128" s="226" t="s">
        <v>280</v>
      </c>
      <c r="B128" s="204"/>
      <c r="C128" s="203"/>
      <c r="D128" s="14"/>
      <c r="E128" s="14"/>
      <c r="F128" s="14"/>
      <c r="G128" s="14"/>
      <c r="H128" s="203"/>
      <c r="I128" s="6"/>
    </row>
    <row r="129" spans="1:9" ht="12.75">
      <c r="A129" s="6" t="s">
        <v>258</v>
      </c>
      <c r="B129" s="204"/>
      <c r="C129" s="203"/>
      <c r="D129" s="14"/>
      <c r="E129" s="14"/>
      <c r="F129" s="14"/>
      <c r="G129" s="14"/>
      <c r="H129" s="203"/>
      <c r="I129" s="6"/>
    </row>
    <row r="130" spans="1:8" ht="12.75">
      <c r="A130" s="215" t="s">
        <v>63</v>
      </c>
      <c r="B130" s="216">
        <f>B107</f>
        <v>50.28999999999999</v>
      </c>
      <c r="C130" s="15">
        <f>_ftnref3</f>
        <v>14.93</v>
      </c>
      <c r="D130" s="15">
        <f>(B130-C130)/12</f>
        <v>2.946666666666666</v>
      </c>
      <c r="E130" s="15">
        <f>E107</f>
        <v>0.3</v>
      </c>
      <c r="F130" s="15">
        <f>D130*E130</f>
        <v>0.8839999999999998</v>
      </c>
      <c r="G130" s="203">
        <v>113</v>
      </c>
      <c r="H130" s="15">
        <f>F130*G130</f>
        <v>99.89199999999998</v>
      </c>
    </row>
    <row r="131" spans="1:9" ht="12.75">
      <c r="A131" s="215" t="s">
        <v>272</v>
      </c>
      <c r="B131" s="221">
        <f>AVERAGE(B108:B109)</f>
        <v>71.05000000000001</v>
      </c>
      <c r="C131" s="221">
        <f>AVERAGE(C108:C109)</f>
        <v>14</v>
      </c>
      <c r="D131" s="15">
        <f>(B131-C131)/12</f>
        <v>4.754166666666667</v>
      </c>
      <c r="E131" s="15">
        <f>AVERAGE(E108:E110)</f>
        <v>0.3</v>
      </c>
      <c r="F131" s="15">
        <f>D131*E131</f>
        <v>1.4262500000000002</v>
      </c>
      <c r="G131" s="14">
        <v>750</v>
      </c>
      <c r="H131" s="15">
        <f>F131*G131</f>
        <v>1069.6875000000002</v>
      </c>
      <c r="I131" s="6"/>
    </row>
    <row r="132" spans="1:9" ht="12.75">
      <c r="A132" s="14" t="s">
        <v>283</v>
      </c>
      <c r="B132" s="204"/>
      <c r="C132" s="204"/>
      <c r="D132" s="14"/>
      <c r="E132" s="14"/>
      <c r="F132" s="14"/>
      <c r="G132" s="14">
        <f>SUM(G130:G131)</f>
        <v>863</v>
      </c>
      <c r="H132" s="15">
        <f>SUM(H130:H131)</f>
        <v>1169.5795000000003</v>
      </c>
      <c r="I132" s="6"/>
    </row>
    <row r="133" spans="1:9" ht="12.75">
      <c r="A133" s="6" t="s">
        <v>284</v>
      </c>
      <c r="B133" s="204"/>
      <c r="C133" s="203"/>
      <c r="D133" s="14"/>
      <c r="E133" s="14"/>
      <c r="F133" s="14"/>
      <c r="G133" s="204"/>
      <c r="H133" s="15">
        <f>H132*0.85</f>
        <v>994.1425750000002</v>
      </c>
      <c r="I133" s="19"/>
    </row>
    <row r="134" spans="1:9" ht="12.75">
      <c r="A134" s="6"/>
      <c r="B134" s="204"/>
      <c r="C134" s="203"/>
      <c r="D134" s="14"/>
      <c r="E134" s="14"/>
      <c r="F134" s="14"/>
      <c r="G134" s="204"/>
      <c r="H134" s="15"/>
      <c r="I134" s="19"/>
    </row>
    <row r="135" spans="1:9" ht="12.75">
      <c r="A135" s="6" t="s">
        <v>279</v>
      </c>
      <c r="B135" s="14"/>
      <c r="C135" s="203"/>
      <c r="D135" s="14"/>
      <c r="E135" s="14"/>
      <c r="F135" s="14"/>
      <c r="G135" s="15"/>
      <c r="H135" s="203"/>
      <c r="I135" s="6"/>
    </row>
    <row r="136" spans="1:8" ht="12.75">
      <c r="A136" s="215" t="s">
        <v>273</v>
      </c>
      <c r="B136" s="171">
        <f>B107</f>
        <v>50.28999999999999</v>
      </c>
      <c r="C136" s="15">
        <f>_ftnref3</f>
        <v>14.93</v>
      </c>
      <c r="D136" s="15">
        <f>(B136-C136)/12</f>
        <v>2.946666666666666</v>
      </c>
      <c r="E136" s="15">
        <v>0.1</v>
      </c>
      <c r="F136" s="15">
        <f>D136*E136</f>
        <v>0.2946666666666666</v>
      </c>
      <c r="G136" s="14">
        <v>416</v>
      </c>
      <c r="H136" s="15">
        <f>F136*G136</f>
        <v>122.58133333333329</v>
      </c>
    </row>
    <row r="137" spans="1:9" ht="12.75">
      <c r="A137" s="6" t="s">
        <v>284</v>
      </c>
      <c r="B137" s="204"/>
      <c r="C137" s="219"/>
      <c r="D137" s="12"/>
      <c r="E137" s="12"/>
      <c r="F137" s="14"/>
      <c r="G137" s="204"/>
      <c r="H137" s="15">
        <f>H136*0.85</f>
        <v>104.1941333333333</v>
      </c>
      <c r="I137" s="19"/>
    </row>
    <row r="138" spans="1:9" ht="12.75">
      <c r="A138" s="6"/>
      <c r="B138" s="204"/>
      <c r="C138" s="219"/>
      <c r="D138" s="12"/>
      <c r="E138" s="12"/>
      <c r="F138" s="14"/>
      <c r="G138" s="204"/>
      <c r="H138" s="15"/>
      <c r="I138" s="19"/>
    </row>
    <row r="139" spans="1:9" ht="12.75">
      <c r="A139" s="10" t="s">
        <v>277</v>
      </c>
      <c r="B139" s="204"/>
      <c r="C139" s="203"/>
      <c r="D139" s="14"/>
      <c r="E139" s="14"/>
      <c r="F139" s="14"/>
      <c r="G139" s="14"/>
      <c r="H139" s="191">
        <f>H133+H137</f>
        <v>1098.3367083333335</v>
      </c>
      <c r="I139" s="6"/>
    </row>
    <row r="140" spans="1:9" ht="12.75">
      <c r="A140" s="10"/>
      <c r="B140" s="14"/>
      <c r="C140" s="203"/>
      <c r="D140" s="14"/>
      <c r="E140" s="14"/>
      <c r="F140" s="14"/>
      <c r="G140" s="14"/>
      <c r="H140" s="203"/>
      <c r="I140" s="6"/>
    </row>
    <row r="141" spans="1:9" ht="12.75">
      <c r="A141" s="226" t="s">
        <v>42</v>
      </c>
      <c r="B141" s="204"/>
      <c r="C141" s="14"/>
      <c r="D141" s="203"/>
      <c r="E141" s="14"/>
      <c r="F141" s="14"/>
      <c r="G141" s="14"/>
      <c r="H141" s="203"/>
      <c r="I141" s="6"/>
    </row>
    <row r="142" spans="2:8" ht="12.75">
      <c r="B142" s="171">
        <f>B110</f>
        <v>71.05000000000001</v>
      </c>
      <c r="C142" s="15">
        <f>_ftnref5</f>
        <v>13.469999999999999</v>
      </c>
      <c r="D142" s="15">
        <f>(B142-C142)/12</f>
        <v>4.798333333333335</v>
      </c>
      <c r="E142" s="15">
        <f>E110</f>
        <v>0.3</v>
      </c>
      <c r="F142" s="15">
        <f>D142*E142</f>
        <v>1.4395000000000004</v>
      </c>
      <c r="G142" s="203">
        <v>22</v>
      </c>
      <c r="H142" s="15">
        <f>F142*G142</f>
        <v>31.66900000000001</v>
      </c>
    </row>
    <row r="143" spans="1:9" ht="12.75">
      <c r="A143" s="6" t="s">
        <v>284</v>
      </c>
      <c r="B143" s="204"/>
      <c r="C143" s="219"/>
      <c r="D143" s="12"/>
      <c r="E143" s="12"/>
      <c r="F143" s="14"/>
      <c r="G143" s="204"/>
      <c r="H143" s="191">
        <f>H142*0.85</f>
        <v>26.91865000000001</v>
      </c>
      <c r="I143" s="8"/>
    </row>
    <row r="144" spans="2:9" ht="15.75">
      <c r="B144" s="223"/>
      <c r="C144" s="14"/>
      <c r="D144" s="203"/>
      <c r="E144" s="14"/>
      <c r="F144" s="14"/>
      <c r="G144" s="14"/>
      <c r="H144" s="203"/>
      <c r="I144" s="6"/>
    </row>
    <row r="145" spans="1:9" ht="12.75">
      <c r="A145" s="226" t="s">
        <v>278</v>
      </c>
      <c r="B145" s="204"/>
      <c r="C145" s="14"/>
      <c r="D145" s="203"/>
      <c r="E145" s="14"/>
      <c r="F145" s="14"/>
      <c r="G145" s="14"/>
      <c r="H145" s="14"/>
      <c r="I145" s="19"/>
    </row>
    <row r="146" spans="2:8" ht="12.75">
      <c r="B146" s="171">
        <f>B111</f>
        <v>79.83999999999999</v>
      </c>
      <c r="C146" s="15">
        <f>_ftnref6</f>
        <v>10.79</v>
      </c>
      <c r="D146" s="15">
        <f>(B146-C146)/12</f>
        <v>5.7541666666666655</v>
      </c>
      <c r="E146" s="15">
        <f>E111</f>
        <v>0.26</v>
      </c>
      <c r="F146" s="15">
        <f>D146*E146</f>
        <v>1.496083333333333</v>
      </c>
      <c r="G146" s="14">
        <v>96</v>
      </c>
      <c r="H146" s="15">
        <f>F146*G146</f>
        <v>143.62399999999997</v>
      </c>
    </row>
    <row r="147" spans="1:8" ht="12.75">
      <c r="A147" s="6" t="s">
        <v>284</v>
      </c>
      <c r="B147" s="204"/>
      <c r="C147" s="219"/>
      <c r="D147" s="12"/>
      <c r="E147" s="14"/>
      <c r="F147" s="204"/>
      <c r="G147" s="204"/>
      <c r="H147" s="191">
        <f>H146*0.85</f>
        <v>122.08039999999997</v>
      </c>
    </row>
    <row r="148" spans="2:8" ht="12.75">
      <c r="B148" s="222"/>
      <c r="C148" s="14"/>
      <c r="D148" s="203"/>
      <c r="E148" s="14"/>
      <c r="F148" s="203"/>
      <c r="G148" s="14"/>
      <c r="H148" s="14"/>
    </row>
    <row r="149" spans="1:9" s="169" customFormat="1" ht="12.75">
      <c r="A149" s="21"/>
      <c r="B149" s="224"/>
      <c r="C149" s="224"/>
      <c r="D149" s="224"/>
      <c r="E149" s="225"/>
      <c r="F149" s="224"/>
      <c r="G149" s="224"/>
      <c r="H149" s="224"/>
      <c r="I149" s="21"/>
    </row>
    <row r="150" spans="1:9" s="169" customFormat="1" ht="12.75">
      <c r="A150" s="21"/>
      <c r="B150" s="224"/>
      <c r="C150" s="224"/>
      <c r="D150" s="224"/>
      <c r="E150" s="225"/>
      <c r="F150" s="224"/>
      <c r="G150" s="224"/>
      <c r="H150" s="224"/>
      <c r="I150" s="21"/>
    </row>
    <row r="151" spans="1:9" s="169" customFormat="1" ht="12.75">
      <c r="A151" s="21"/>
      <c r="B151" s="224"/>
      <c r="C151" s="224"/>
      <c r="D151" s="224"/>
      <c r="E151" s="225"/>
      <c r="F151" s="224"/>
      <c r="G151" s="224"/>
      <c r="H151" s="224"/>
      <c r="I151" s="21"/>
    </row>
    <row r="152" spans="1:9" s="169" customFormat="1" ht="12.75">
      <c r="A152" s="21"/>
      <c r="B152" s="224"/>
      <c r="C152" s="224"/>
      <c r="D152" s="224"/>
      <c r="E152" s="225"/>
      <c r="F152" s="224"/>
      <c r="G152" s="224"/>
      <c r="H152" s="224"/>
      <c r="I152" s="21"/>
    </row>
    <row r="153" spans="1:9" s="169" customFormat="1" ht="12.75">
      <c r="A153" s="21"/>
      <c r="B153" s="224"/>
      <c r="C153" s="224"/>
      <c r="D153" s="224"/>
      <c r="E153" s="225"/>
      <c r="F153" s="224"/>
      <c r="G153" s="224"/>
      <c r="H153" s="224"/>
      <c r="I153" s="21"/>
    </row>
    <row r="154" spans="1:9" s="169" customFormat="1" ht="12.75">
      <c r="A154" s="21"/>
      <c r="B154" s="224"/>
      <c r="C154" s="224"/>
      <c r="D154" s="224"/>
      <c r="E154" s="225"/>
      <c r="F154" s="224"/>
      <c r="G154" s="224"/>
      <c r="H154" s="224"/>
      <c r="I154" s="21"/>
    </row>
    <row r="155" spans="1:9" s="169" customFormat="1" ht="12.75">
      <c r="A155" s="21"/>
      <c r="B155" s="224"/>
      <c r="C155" s="224"/>
      <c r="D155" s="224"/>
      <c r="E155" s="225"/>
      <c r="F155" s="224"/>
      <c r="G155" s="224"/>
      <c r="H155" s="224"/>
      <c r="I155" s="21"/>
    </row>
    <row r="156" spans="1:9" s="169" customFormat="1" ht="12.75">
      <c r="A156" s="21"/>
      <c r="B156" s="224"/>
      <c r="C156" s="224"/>
      <c r="D156" s="224"/>
      <c r="E156" s="225"/>
      <c r="F156" s="224"/>
      <c r="G156" s="224"/>
      <c r="H156" s="224"/>
      <c r="I156" s="21"/>
    </row>
    <row r="157" spans="1:9" s="169" customFormat="1" ht="12.75">
      <c r="A157" s="21"/>
      <c r="B157" s="224"/>
      <c r="C157" s="224"/>
      <c r="D157" s="224"/>
      <c r="E157" s="225"/>
      <c r="F157" s="224"/>
      <c r="G157" s="224"/>
      <c r="H157" s="224"/>
      <c r="I157" s="21"/>
    </row>
    <row r="158" spans="1:9" s="169" customFormat="1" ht="12.75">
      <c r="A158" s="21"/>
      <c r="B158" s="224"/>
      <c r="C158" s="224"/>
      <c r="D158" s="224"/>
      <c r="E158" s="225"/>
      <c r="F158" s="224"/>
      <c r="G158" s="224"/>
      <c r="H158" s="224"/>
      <c r="I158" s="21"/>
    </row>
    <row r="159" spans="1:9" s="169" customFormat="1" ht="12.75">
      <c r="A159" s="21"/>
      <c r="B159" s="224"/>
      <c r="C159" s="224"/>
      <c r="D159" s="224"/>
      <c r="E159" s="225"/>
      <c r="F159" s="224"/>
      <c r="G159" s="224"/>
      <c r="H159" s="224"/>
      <c r="I159" s="21"/>
    </row>
    <row r="160" spans="1:9" s="169" customFormat="1" ht="12.75">
      <c r="A160" s="21"/>
      <c r="B160" s="224"/>
      <c r="C160" s="224"/>
      <c r="D160" s="224"/>
      <c r="E160" s="225"/>
      <c r="F160" s="224"/>
      <c r="G160" s="224"/>
      <c r="H160" s="224"/>
      <c r="I160" s="21"/>
    </row>
    <row r="161" spans="1:9" s="169" customFormat="1" ht="12.75">
      <c r="A161" s="21"/>
      <c r="B161" s="224"/>
      <c r="C161" s="224"/>
      <c r="D161" s="224"/>
      <c r="E161" s="225"/>
      <c r="F161" s="224"/>
      <c r="G161" s="224"/>
      <c r="H161" s="224"/>
      <c r="I161" s="21"/>
    </row>
    <row r="162" spans="1:9" s="169" customFormat="1" ht="12.75">
      <c r="A162" s="21"/>
      <c r="B162" s="224"/>
      <c r="C162" s="224"/>
      <c r="D162" s="224"/>
      <c r="E162" s="225"/>
      <c r="F162" s="224"/>
      <c r="G162" s="224"/>
      <c r="H162" s="224"/>
      <c r="I162" s="21"/>
    </row>
    <row r="163" spans="1:9" s="169" customFormat="1" ht="12.75">
      <c r="A163" s="21"/>
      <c r="B163" s="224"/>
      <c r="C163" s="224"/>
      <c r="D163" s="224"/>
      <c r="E163" s="225"/>
      <c r="F163" s="224"/>
      <c r="G163" s="224"/>
      <c r="H163" s="224"/>
      <c r="I163" s="21"/>
    </row>
    <row r="164" spans="1:9" s="169" customFormat="1" ht="12.75">
      <c r="A164" s="21"/>
      <c r="B164" s="224"/>
      <c r="C164" s="224"/>
      <c r="D164" s="224"/>
      <c r="E164" s="225"/>
      <c r="F164" s="224"/>
      <c r="G164" s="224"/>
      <c r="H164" s="224"/>
      <c r="I164" s="21"/>
    </row>
    <row r="165" spans="1:9" s="169" customFormat="1" ht="12.75">
      <c r="A165" s="21"/>
      <c r="B165" s="224"/>
      <c r="C165" s="224"/>
      <c r="D165" s="224"/>
      <c r="E165" s="225"/>
      <c r="F165" s="224"/>
      <c r="G165" s="224"/>
      <c r="H165" s="224"/>
      <c r="I165" s="21"/>
    </row>
    <row r="166" spans="1:9" s="169" customFormat="1" ht="12.75">
      <c r="A166" s="21"/>
      <c r="B166" s="224"/>
      <c r="C166" s="224"/>
      <c r="D166" s="224"/>
      <c r="E166" s="225"/>
      <c r="F166" s="224"/>
      <c r="G166" s="224"/>
      <c r="H166" s="224"/>
      <c r="I166" s="21"/>
    </row>
    <row r="167" spans="1:9" s="169" customFormat="1" ht="12.75">
      <c r="A167" s="21"/>
      <c r="B167" s="224"/>
      <c r="C167" s="224"/>
      <c r="D167" s="224"/>
      <c r="E167" s="225"/>
      <c r="F167" s="224"/>
      <c r="G167" s="224"/>
      <c r="H167" s="224"/>
      <c r="I167" s="21"/>
    </row>
    <row r="168" spans="1:9" s="169" customFormat="1" ht="12.75">
      <c r="A168" s="21"/>
      <c r="B168" s="224"/>
      <c r="C168" s="224"/>
      <c r="D168" s="224"/>
      <c r="E168" s="225"/>
      <c r="F168" s="224"/>
      <c r="G168" s="224"/>
      <c r="H168" s="224"/>
      <c r="I168" s="21"/>
    </row>
    <row r="169" spans="1:9" s="169" customFormat="1" ht="12.75">
      <c r="A169" s="21"/>
      <c r="B169" s="224"/>
      <c r="C169" s="224"/>
      <c r="D169" s="224"/>
      <c r="E169" s="225"/>
      <c r="F169" s="224"/>
      <c r="G169" s="224"/>
      <c r="H169" s="224"/>
      <c r="I169" s="21"/>
    </row>
    <row r="170" spans="1:9" s="169" customFormat="1" ht="12.75">
      <c r="A170" s="21"/>
      <c r="B170" s="224"/>
      <c r="C170" s="224"/>
      <c r="D170" s="224"/>
      <c r="E170" s="225"/>
      <c r="F170" s="224"/>
      <c r="G170" s="224"/>
      <c r="H170" s="224"/>
      <c r="I170" s="21"/>
    </row>
    <row r="171" spans="1:9" s="169" customFormat="1" ht="12.75">
      <c r="A171" s="21"/>
      <c r="B171" s="224"/>
      <c r="C171" s="224"/>
      <c r="D171" s="224"/>
      <c r="E171" s="225"/>
      <c r="F171" s="224"/>
      <c r="G171" s="224"/>
      <c r="H171" s="224"/>
      <c r="I171" s="21"/>
    </row>
    <row r="172" spans="1:9" s="169" customFormat="1" ht="12.75">
      <c r="A172" s="21"/>
      <c r="B172" s="224"/>
      <c r="C172" s="224"/>
      <c r="D172" s="224"/>
      <c r="E172" s="225"/>
      <c r="F172" s="224"/>
      <c r="G172" s="224"/>
      <c r="H172" s="224"/>
      <c r="I172" s="21"/>
    </row>
    <row r="173" spans="1:9" s="169" customFormat="1" ht="12.75">
      <c r="A173" s="21"/>
      <c r="B173" s="224"/>
      <c r="C173" s="224"/>
      <c r="D173" s="224"/>
      <c r="E173" s="225"/>
      <c r="F173" s="224"/>
      <c r="G173" s="224"/>
      <c r="H173" s="224"/>
      <c r="I173" s="21"/>
    </row>
    <row r="174" spans="1:9" s="169" customFormat="1" ht="12.75">
      <c r="A174" s="21"/>
      <c r="B174" s="224"/>
      <c r="C174" s="224"/>
      <c r="D174" s="224"/>
      <c r="E174" s="225"/>
      <c r="F174" s="224"/>
      <c r="G174" s="224"/>
      <c r="H174" s="224"/>
      <c r="I174" s="21"/>
    </row>
    <row r="175" spans="1:9" s="169" customFormat="1" ht="12.75">
      <c r="A175" s="21"/>
      <c r="B175" s="224"/>
      <c r="C175" s="224"/>
      <c r="D175" s="224"/>
      <c r="E175" s="225"/>
      <c r="F175" s="224"/>
      <c r="G175" s="224"/>
      <c r="H175" s="224"/>
      <c r="I175" s="21"/>
    </row>
    <row r="176" spans="1:9" s="169" customFormat="1" ht="12.75">
      <c r="A176" s="21"/>
      <c r="B176" s="224"/>
      <c r="C176" s="224"/>
      <c r="D176" s="224"/>
      <c r="E176" s="225"/>
      <c r="F176" s="224"/>
      <c r="G176" s="224"/>
      <c r="H176" s="224"/>
      <c r="I176" s="21"/>
    </row>
    <row r="177" spans="1:9" s="169" customFormat="1" ht="12.75">
      <c r="A177" s="21"/>
      <c r="B177" s="224"/>
      <c r="C177" s="224"/>
      <c r="D177" s="224"/>
      <c r="E177" s="225"/>
      <c r="F177" s="224"/>
      <c r="G177" s="224"/>
      <c r="H177" s="224"/>
      <c r="I177" s="21"/>
    </row>
    <row r="178" spans="1:9" s="169" customFormat="1" ht="12.75">
      <c r="A178" s="21"/>
      <c r="B178" s="224"/>
      <c r="C178" s="224"/>
      <c r="D178" s="224"/>
      <c r="E178" s="225"/>
      <c r="F178" s="224"/>
      <c r="G178" s="224"/>
      <c r="H178" s="224"/>
      <c r="I178" s="21"/>
    </row>
    <row r="179" spans="1:9" s="169" customFormat="1" ht="12.75">
      <c r="A179" s="21"/>
      <c r="B179" s="224"/>
      <c r="C179" s="224"/>
      <c r="D179" s="224"/>
      <c r="E179" s="225"/>
      <c r="F179" s="224"/>
      <c r="G179" s="224"/>
      <c r="H179" s="224"/>
      <c r="I179" s="21"/>
    </row>
    <row r="180" spans="1:9" s="169" customFormat="1" ht="12.75">
      <c r="A180" s="21"/>
      <c r="B180" s="224"/>
      <c r="C180" s="224"/>
      <c r="D180" s="224"/>
      <c r="E180" s="225"/>
      <c r="F180" s="224"/>
      <c r="G180" s="224"/>
      <c r="H180" s="224"/>
      <c r="I180" s="21"/>
    </row>
    <row r="181" spans="1:9" s="169" customFormat="1" ht="12.75">
      <c r="A181" s="21"/>
      <c r="B181" s="224"/>
      <c r="C181" s="224"/>
      <c r="D181" s="224"/>
      <c r="E181" s="225"/>
      <c r="F181" s="224"/>
      <c r="G181" s="224"/>
      <c r="H181" s="224"/>
      <c r="I181" s="21"/>
    </row>
    <row r="182" spans="1:9" s="169" customFormat="1" ht="12.75">
      <c r="A182" s="21"/>
      <c r="B182" s="224"/>
      <c r="C182" s="224"/>
      <c r="D182" s="224"/>
      <c r="E182" s="225"/>
      <c r="F182" s="224"/>
      <c r="G182" s="224"/>
      <c r="H182" s="224"/>
      <c r="I182" s="21"/>
    </row>
    <row r="183" spans="1:9" s="169" customFormat="1" ht="12.75">
      <c r="A183" s="21"/>
      <c r="B183" s="224"/>
      <c r="C183" s="224"/>
      <c r="D183" s="224"/>
      <c r="E183" s="225"/>
      <c r="F183" s="224"/>
      <c r="G183" s="224"/>
      <c r="H183" s="224"/>
      <c r="I183" s="21"/>
    </row>
    <row r="184" spans="1:9" s="169" customFormat="1" ht="12.75">
      <c r="A184" s="21"/>
      <c r="B184" s="224"/>
      <c r="C184" s="224"/>
      <c r="D184" s="224"/>
      <c r="E184" s="225"/>
      <c r="F184" s="224"/>
      <c r="G184" s="224"/>
      <c r="H184" s="224"/>
      <c r="I184" s="21"/>
    </row>
    <row r="185" spans="1:9" s="169" customFormat="1" ht="12.75">
      <c r="A185" s="21"/>
      <c r="B185" s="224"/>
      <c r="C185" s="224"/>
      <c r="D185" s="224"/>
      <c r="E185" s="225"/>
      <c r="F185" s="224"/>
      <c r="G185" s="224"/>
      <c r="H185" s="224"/>
      <c r="I185" s="21"/>
    </row>
    <row r="186" spans="1:9" s="169" customFormat="1" ht="12.75">
      <c r="A186" s="21"/>
      <c r="B186" s="224"/>
      <c r="C186" s="224"/>
      <c r="D186" s="224"/>
      <c r="E186" s="225"/>
      <c r="F186" s="224"/>
      <c r="G186" s="224"/>
      <c r="H186" s="224"/>
      <c r="I186" s="21"/>
    </row>
    <row r="187" spans="1:9" s="169" customFormat="1" ht="12.75">
      <c r="A187" s="21"/>
      <c r="B187" s="224"/>
      <c r="C187" s="224"/>
      <c r="D187" s="224"/>
      <c r="E187" s="225"/>
      <c r="F187" s="224"/>
      <c r="G187" s="224"/>
      <c r="H187" s="224"/>
      <c r="I187" s="21"/>
    </row>
    <row r="188" spans="1:9" s="169" customFormat="1" ht="12.75">
      <c r="A188" s="21"/>
      <c r="B188" s="224"/>
      <c r="C188" s="224"/>
      <c r="D188" s="224"/>
      <c r="E188" s="225"/>
      <c r="F188" s="224"/>
      <c r="G188" s="224"/>
      <c r="H188" s="224"/>
      <c r="I188" s="21"/>
    </row>
    <row r="189" spans="1:9" s="169" customFormat="1" ht="12.75">
      <c r="A189" s="21"/>
      <c r="B189" s="224"/>
      <c r="C189" s="224"/>
      <c r="D189" s="224"/>
      <c r="E189" s="225"/>
      <c r="F189" s="224"/>
      <c r="G189" s="224"/>
      <c r="H189" s="224"/>
      <c r="I189" s="21"/>
    </row>
    <row r="190" spans="1:9" s="169" customFormat="1" ht="12.75">
      <c r="A190" s="21"/>
      <c r="B190" s="224"/>
      <c r="C190" s="224"/>
      <c r="D190" s="224"/>
      <c r="E190" s="225"/>
      <c r="F190" s="224"/>
      <c r="G190" s="224"/>
      <c r="H190" s="224"/>
      <c r="I190" s="21"/>
    </row>
    <row r="191" spans="1:9" s="169" customFormat="1" ht="12.75">
      <c r="A191" s="21"/>
      <c r="B191" s="224"/>
      <c r="C191" s="224"/>
      <c r="D191" s="224"/>
      <c r="E191" s="225"/>
      <c r="F191" s="224"/>
      <c r="G191" s="224"/>
      <c r="H191" s="224"/>
      <c r="I191" s="21"/>
    </row>
    <row r="192" spans="1:9" s="169" customFormat="1" ht="12.75">
      <c r="A192" s="21"/>
      <c r="B192" s="224"/>
      <c r="C192" s="224"/>
      <c r="D192" s="224"/>
      <c r="E192" s="225"/>
      <c r="F192" s="224"/>
      <c r="G192" s="224"/>
      <c r="H192" s="224"/>
      <c r="I192" s="21"/>
    </row>
    <row r="193" spans="1:9" s="169" customFormat="1" ht="12.75">
      <c r="A193" s="21"/>
      <c r="B193" s="224"/>
      <c r="C193" s="224"/>
      <c r="D193" s="224"/>
      <c r="E193" s="225"/>
      <c r="F193" s="224"/>
      <c r="G193" s="224"/>
      <c r="H193" s="224"/>
      <c r="I193" s="21"/>
    </row>
    <row r="194" spans="1:9" s="169" customFormat="1" ht="12.75">
      <c r="A194" s="21"/>
      <c r="B194" s="224"/>
      <c r="C194" s="224"/>
      <c r="D194" s="224"/>
      <c r="E194" s="225"/>
      <c r="F194" s="224"/>
      <c r="G194" s="224"/>
      <c r="H194" s="224"/>
      <c r="I194" s="21"/>
    </row>
    <row r="195" spans="1:9" s="169" customFormat="1" ht="12.75">
      <c r="A195" s="21"/>
      <c r="B195" s="224"/>
      <c r="C195" s="224"/>
      <c r="D195" s="224"/>
      <c r="E195" s="225"/>
      <c r="F195" s="224"/>
      <c r="G195" s="224"/>
      <c r="H195" s="224"/>
      <c r="I195" s="21"/>
    </row>
    <row r="196" spans="1:9" s="169" customFormat="1" ht="12.75">
      <c r="A196" s="21"/>
      <c r="B196" s="224"/>
      <c r="C196" s="224"/>
      <c r="D196" s="224"/>
      <c r="E196" s="225"/>
      <c r="F196" s="224"/>
      <c r="G196" s="224"/>
      <c r="H196" s="224"/>
      <c r="I196" s="21"/>
    </row>
    <row r="197" spans="1:9" s="169" customFormat="1" ht="12.75">
      <c r="A197" s="21"/>
      <c r="B197" s="224"/>
      <c r="C197" s="224"/>
      <c r="D197" s="224"/>
      <c r="E197" s="225"/>
      <c r="F197" s="224"/>
      <c r="G197" s="224"/>
      <c r="H197" s="224"/>
      <c r="I197" s="21"/>
    </row>
    <row r="198" spans="1:9" s="169" customFormat="1" ht="12.75">
      <c r="A198" s="21"/>
      <c r="B198" s="224"/>
      <c r="C198" s="224"/>
      <c r="D198" s="224"/>
      <c r="E198" s="225"/>
      <c r="F198" s="224"/>
      <c r="G198" s="224"/>
      <c r="H198" s="224"/>
      <c r="I198" s="21"/>
    </row>
    <row r="199" spans="1:9" s="169" customFormat="1" ht="12.75">
      <c r="A199" s="21"/>
      <c r="B199" s="224"/>
      <c r="C199" s="224"/>
      <c r="D199" s="224"/>
      <c r="E199" s="225"/>
      <c r="F199" s="224"/>
      <c r="G199" s="224"/>
      <c r="H199" s="224"/>
      <c r="I199" s="21"/>
    </row>
    <row r="200" spans="1:9" s="169" customFormat="1" ht="12.75">
      <c r="A200" s="21"/>
      <c r="B200" s="224"/>
      <c r="C200" s="224"/>
      <c r="D200" s="224"/>
      <c r="E200" s="225"/>
      <c r="F200" s="224"/>
      <c r="G200" s="224"/>
      <c r="H200" s="224"/>
      <c r="I200" s="21"/>
    </row>
    <row r="201" spans="1:9" s="169" customFormat="1" ht="12.75">
      <c r="A201" s="21"/>
      <c r="B201" s="224"/>
      <c r="C201" s="224"/>
      <c r="D201" s="224"/>
      <c r="E201" s="225"/>
      <c r="F201" s="224"/>
      <c r="G201" s="224"/>
      <c r="H201" s="224"/>
      <c r="I201" s="21"/>
    </row>
    <row r="202" spans="1:9" s="169" customFormat="1" ht="12.75">
      <c r="A202" s="21"/>
      <c r="B202" s="224"/>
      <c r="C202" s="224"/>
      <c r="D202" s="224"/>
      <c r="E202" s="225"/>
      <c r="F202" s="224"/>
      <c r="G202" s="224"/>
      <c r="H202" s="224"/>
      <c r="I202" s="21"/>
    </row>
    <row r="203" spans="1:9" s="169" customFormat="1" ht="12.75">
      <c r="A203" s="21"/>
      <c r="B203" s="224"/>
      <c r="C203" s="224"/>
      <c r="D203" s="224"/>
      <c r="E203" s="225"/>
      <c r="F203" s="224"/>
      <c r="G203" s="224"/>
      <c r="H203" s="224"/>
      <c r="I203" s="21"/>
    </row>
    <row r="204" spans="1:9" s="169" customFormat="1" ht="12.75">
      <c r="A204" s="21"/>
      <c r="B204" s="224"/>
      <c r="C204" s="224"/>
      <c r="D204" s="224"/>
      <c r="E204" s="225"/>
      <c r="F204" s="224"/>
      <c r="G204" s="224"/>
      <c r="H204" s="224"/>
      <c r="I204" s="21"/>
    </row>
    <row r="205" spans="1:9" s="169" customFormat="1" ht="12.75">
      <c r="A205" s="21"/>
      <c r="B205" s="224"/>
      <c r="C205" s="224"/>
      <c r="D205" s="224"/>
      <c r="E205" s="225"/>
      <c r="F205" s="224"/>
      <c r="G205" s="224"/>
      <c r="H205" s="224"/>
      <c r="I205" s="21"/>
    </row>
    <row r="206" spans="1:9" s="169" customFormat="1" ht="12.75">
      <c r="A206" s="21"/>
      <c r="B206" s="224"/>
      <c r="C206" s="224"/>
      <c r="D206" s="224"/>
      <c r="E206" s="225"/>
      <c r="F206" s="224"/>
      <c r="G206" s="224"/>
      <c r="H206" s="224"/>
      <c r="I206" s="21"/>
    </row>
    <row r="207" spans="1:9" s="169" customFormat="1" ht="12.75">
      <c r="A207" s="21"/>
      <c r="B207" s="224"/>
      <c r="C207" s="224"/>
      <c r="D207" s="224"/>
      <c r="E207" s="225"/>
      <c r="F207" s="224"/>
      <c r="G207" s="224"/>
      <c r="H207" s="224"/>
      <c r="I207" s="21"/>
    </row>
    <row r="208" spans="1:9" s="169" customFormat="1" ht="12.75">
      <c r="A208" s="21"/>
      <c r="B208" s="224"/>
      <c r="C208" s="224"/>
      <c r="D208" s="224"/>
      <c r="E208" s="225"/>
      <c r="F208" s="224"/>
      <c r="G208" s="224"/>
      <c r="H208" s="224"/>
      <c r="I208" s="21"/>
    </row>
    <row r="209" spans="1:9" s="169" customFormat="1" ht="12.75">
      <c r="A209" s="21"/>
      <c r="B209" s="224"/>
      <c r="C209" s="224"/>
      <c r="D209" s="224"/>
      <c r="E209" s="225"/>
      <c r="F209" s="224"/>
      <c r="G209" s="224"/>
      <c r="H209" s="224"/>
      <c r="I209" s="21"/>
    </row>
    <row r="210" spans="1:9" s="169" customFormat="1" ht="12.75">
      <c r="A210" s="21"/>
      <c r="B210" s="224"/>
      <c r="C210" s="224"/>
      <c r="D210" s="224"/>
      <c r="E210" s="225"/>
      <c r="F210" s="224"/>
      <c r="G210" s="224"/>
      <c r="H210" s="224"/>
      <c r="I210" s="21"/>
    </row>
    <row r="211" spans="1:9" s="169" customFormat="1" ht="12.75">
      <c r="A211" s="21"/>
      <c r="B211" s="224"/>
      <c r="C211" s="224"/>
      <c r="D211" s="224"/>
      <c r="E211" s="225"/>
      <c r="F211" s="224"/>
      <c r="G211" s="224"/>
      <c r="H211" s="224"/>
      <c r="I211" s="21"/>
    </row>
    <row r="212" spans="1:9" s="169" customFormat="1" ht="12.75">
      <c r="A212" s="21"/>
      <c r="B212" s="224"/>
      <c r="C212" s="224"/>
      <c r="D212" s="224"/>
      <c r="E212" s="225"/>
      <c r="F212" s="224"/>
      <c r="G212" s="224"/>
      <c r="H212" s="224"/>
      <c r="I212" s="21"/>
    </row>
    <row r="213" spans="1:9" s="169" customFormat="1" ht="12.75">
      <c r="A213" s="21"/>
      <c r="B213" s="224"/>
      <c r="C213" s="224"/>
      <c r="D213" s="224"/>
      <c r="E213" s="225"/>
      <c r="F213" s="224"/>
      <c r="G213" s="224"/>
      <c r="H213" s="224"/>
      <c r="I213" s="21"/>
    </row>
    <row r="214" spans="1:9" s="169" customFormat="1" ht="12.75">
      <c r="A214" s="21"/>
      <c r="B214" s="224"/>
      <c r="C214" s="224"/>
      <c r="D214" s="224"/>
      <c r="E214" s="225"/>
      <c r="F214" s="224"/>
      <c r="G214" s="224"/>
      <c r="H214" s="224"/>
      <c r="I214" s="21"/>
    </row>
    <row r="215" spans="1:9" s="169" customFormat="1" ht="12.75">
      <c r="A215" s="21"/>
      <c r="B215" s="224"/>
      <c r="C215" s="224"/>
      <c r="D215" s="224"/>
      <c r="E215" s="225"/>
      <c r="F215" s="224"/>
      <c r="G215" s="224"/>
      <c r="H215" s="224"/>
      <c r="I215" s="21"/>
    </row>
    <row r="216" spans="1:9" s="169" customFormat="1" ht="12.75">
      <c r="A216" s="21"/>
      <c r="B216" s="224"/>
      <c r="C216" s="224"/>
      <c r="D216" s="224"/>
      <c r="E216" s="225"/>
      <c r="F216" s="224"/>
      <c r="G216" s="224"/>
      <c r="H216" s="224"/>
      <c r="I216" s="21"/>
    </row>
    <row r="217" spans="1:9" s="169" customFormat="1" ht="12.75">
      <c r="A217" s="21"/>
      <c r="B217" s="224"/>
      <c r="C217" s="224"/>
      <c r="D217" s="224"/>
      <c r="E217" s="225"/>
      <c r="F217" s="224"/>
      <c r="G217" s="224"/>
      <c r="H217" s="224"/>
      <c r="I217" s="21"/>
    </row>
    <row r="218" spans="1:9" s="169" customFormat="1" ht="12.75">
      <c r="A218" s="21"/>
      <c r="B218" s="224"/>
      <c r="C218" s="224"/>
      <c r="D218" s="224"/>
      <c r="E218" s="225"/>
      <c r="F218" s="224"/>
      <c r="G218" s="224"/>
      <c r="H218" s="224"/>
      <c r="I218" s="21"/>
    </row>
    <row r="219" spans="1:9" s="169" customFormat="1" ht="12.75">
      <c r="A219" s="21"/>
      <c r="B219" s="224"/>
      <c r="C219" s="224"/>
      <c r="D219" s="224"/>
      <c r="E219" s="225"/>
      <c r="F219" s="224"/>
      <c r="G219" s="224"/>
      <c r="H219" s="224"/>
      <c r="I219" s="21"/>
    </row>
    <row r="220" spans="1:9" s="169" customFormat="1" ht="12.75">
      <c r="A220" s="21"/>
      <c r="B220" s="224"/>
      <c r="C220" s="224"/>
      <c r="D220" s="224"/>
      <c r="E220" s="225"/>
      <c r="F220" s="224"/>
      <c r="G220" s="224"/>
      <c r="H220" s="224"/>
      <c r="I220" s="21"/>
    </row>
    <row r="221" spans="1:9" s="169" customFormat="1" ht="12.75">
      <c r="A221" s="21"/>
      <c r="B221" s="224"/>
      <c r="C221" s="224"/>
      <c r="D221" s="224"/>
      <c r="E221" s="225"/>
      <c r="F221" s="224"/>
      <c r="G221" s="224"/>
      <c r="H221" s="224"/>
      <c r="I221" s="21"/>
    </row>
    <row r="222" spans="1:9" s="169" customFormat="1" ht="12.75">
      <c r="A222" s="21"/>
      <c r="B222" s="21"/>
      <c r="C222" s="21"/>
      <c r="D222" s="21"/>
      <c r="E222" s="20"/>
      <c r="F222" s="21"/>
      <c r="G222" s="21"/>
      <c r="H222" s="21"/>
      <c r="I222" s="21"/>
    </row>
    <row r="223" spans="1:9" s="169" customFormat="1" ht="12.75">
      <c r="A223" s="21"/>
      <c r="B223" s="21"/>
      <c r="C223" s="21"/>
      <c r="D223" s="21"/>
      <c r="E223" s="20"/>
      <c r="F223" s="21"/>
      <c r="G223" s="21"/>
      <c r="H223" s="21"/>
      <c r="I223" s="21"/>
    </row>
    <row r="224" spans="1:9" s="169" customFormat="1" ht="12.75">
      <c r="A224" s="21"/>
      <c r="B224" s="21"/>
      <c r="C224" s="21"/>
      <c r="D224" s="21"/>
      <c r="E224" s="20"/>
      <c r="F224" s="21"/>
      <c r="G224" s="21"/>
      <c r="H224" s="21"/>
      <c r="I224" s="21"/>
    </row>
    <row r="225" spans="1:9" s="169" customFormat="1" ht="12.75">
      <c r="A225" s="21"/>
      <c r="B225" s="21"/>
      <c r="C225" s="21"/>
      <c r="D225" s="21"/>
      <c r="E225" s="20"/>
      <c r="F225" s="21"/>
      <c r="G225" s="21"/>
      <c r="H225" s="21"/>
      <c r="I225" s="21"/>
    </row>
    <row r="226" spans="1:9" s="169" customFormat="1" ht="12.75">
      <c r="A226" s="21"/>
      <c r="B226" s="21"/>
      <c r="C226" s="21"/>
      <c r="D226" s="21"/>
      <c r="E226" s="20"/>
      <c r="F226" s="21"/>
      <c r="G226" s="21"/>
      <c r="H226" s="21"/>
      <c r="I226" s="21"/>
    </row>
    <row r="227" spans="1:9" s="169" customFormat="1" ht="12.75">
      <c r="A227" s="21"/>
      <c r="B227" s="21"/>
      <c r="C227" s="21"/>
      <c r="D227" s="21"/>
      <c r="E227" s="20"/>
      <c r="F227" s="21"/>
      <c r="G227" s="21"/>
      <c r="H227" s="21"/>
      <c r="I227" s="21"/>
    </row>
    <row r="228" spans="1:9" s="169" customFormat="1" ht="12.75">
      <c r="A228" s="21"/>
      <c r="B228" s="21"/>
      <c r="C228" s="21"/>
      <c r="D228" s="21"/>
      <c r="E228" s="20"/>
      <c r="F228" s="21"/>
      <c r="G228" s="21"/>
      <c r="H228" s="21"/>
      <c r="I228" s="21"/>
    </row>
    <row r="229" spans="1:9" s="169" customFormat="1" ht="12.75">
      <c r="A229" s="21"/>
      <c r="B229" s="21"/>
      <c r="C229" s="21"/>
      <c r="D229" s="21"/>
      <c r="E229" s="20"/>
      <c r="F229" s="21"/>
      <c r="G229" s="21"/>
      <c r="H229" s="21"/>
      <c r="I229" s="21"/>
    </row>
    <row r="230" spans="1:9" s="169" customFormat="1" ht="12.75">
      <c r="A230" s="21"/>
      <c r="B230" s="21"/>
      <c r="C230" s="21"/>
      <c r="D230" s="21"/>
      <c r="E230" s="20"/>
      <c r="F230" s="21"/>
      <c r="G230" s="21"/>
      <c r="H230" s="21"/>
      <c r="I230" s="21"/>
    </row>
    <row r="231" spans="1:9" s="169" customFormat="1" ht="12.75">
      <c r="A231" s="21"/>
      <c r="B231" s="21"/>
      <c r="C231" s="21"/>
      <c r="D231" s="21"/>
      <c r="E231" s="20"/>
      <c r="F231" s="21"/>
      <c r="G231" s="21"/>
      <c r="H231" s="21"/>
      <c r="I231" s="21"/>
    </row>
    <row r="232" spans="1:9" s="169" customFormat="1" ht="12.75">
      <c r="A232" s="21"/>
      <c r="B232" s="21"/>
      <c r="C232" s="21"/>
      <c r="D232" s="21"/>
      <c r="E232" s="20"/>
      <c r="F232" s="21"/>
      <c r="G232" s="21"/>
      <c r="H232" s="21"/>
      <c r="I232" s="21"/>
    </row>
    <row r="233" spans="1:9" s="169" customFormat="1" ht="12.75">
      <c r="A233" s="21"/>
      <c r="B233" s="21"/>
      <c r="C233" s="21"/>
      <c r="D233" s="21"/>
      <c r="E233" s="20"/>
      <c r="F233" s="21"/>
      <c r="G233" s="21"/>
      <c r="H233" s="21"/>
      <c r="I233" s="21"/>
    </row>
    <row r="234" spans="1:9" s="169" customFormat="1" ht="12.75">
      <c r="A234" s="21"/>
      <c r="B234" s="21"/>
      <c r="C234" s="21"/>
      <c r="D234" s="21"/>
      <c r="E234" s="20"/>
      <c r="F234" s="21"/>
      <c r="G234" s="21"/>
      <c r="H234" s="21"/>
      <c r="I234" s="21"/>
    </row>
    <row r="235" spans="1:9" s="169" customFormat="1" ht="12.75">
      <c r="A235" s="21"/>
      <c r="B235" s="21"/>
      <c r="C235" s="21"/>
      <c r="D235" s="21"/>
      <c r="E235" s="20"/>
      <c r="F235" s="21"/>
      <c r="G235" s="21"/>
      <c r="H235" s="21"/>
      <c r="I235" s="21"/>
    </row>
    <row r="236" spans="1:9" s="169" customFormat="1" ht="12.75">
      <c r="A236" s="21"/>
      <c r="B236" s="21"/>
      <c r="C236" s="21"/>
      <c r="D236" s="21"/>
      <c r="E236" s="20"/>
      <c r="F236" s="21"/>
      <c r="G236" s="21"/>
      <c r="H236" s="21"/>
      <c r="I236" s="21"/>
    </row>
    <row r="237" spans="1:9" s="169" customFormat="1" ht="12.75">
      <c r="A237" s="21"/>
      <c r="B237" s="21"/>
      <c r="C237" s="21"/>
      <c r="D237" s="21"/>
      <c r="E237" s="20"/>
      <c r="F237" s="21"/>
      <c r="G237" s="21"/>
      <c r="H237" s="21"/>
      <c r="I237" s="21"/>
    </row>
    <row r="238" spans="1:9" s="169" customFormat="1" ht="12.75">
      <c r="A238" s="21"/>
      <c r="B238" s="21"/>
      <c r="C238" s="21"/>
      <c r="D238" s="21"/>
      <c r="E238" s="20"/>
      <c r="F238" s="21"/>
      <c r="G238" s="21"/>
      <c r="H238" s="21"/>
      <c r="I238" s="21"/>
    </row>
    <row r="239" spans="1:9" s="169" customFormat="1" ht="12.75">
      <c r="A239" s="21"/>
      <c r="B239" s="21"/>
      <c r="C239" s="21"/>
      <c r="D239" s="21"/>
      <c r="E239" s="20"/>
      <c r="F239" s="21"/>
      <c r="G239" s="21"/>
      <c r="H239" s="21"/>
      <c r="I239" s="21"/>
    </row>
    <row r="240" spans="1:9" s="169" customFormat="1" ht="12.75">
      <c r="A240" s="21"/>
      <c r="B240" s="21"/>
      <c r="C240" s="21"/>
      <c r="D240" s="21"/>
      <c r="E240" s="20"/>
      <c r="F240" s="21"/>
      <c r="G240" s="21"/>
      <c r="H240" s="21"/>
      <c r="I240" s="21"/>
    </row>
    <row r="241" spans="1:9" s="169" customFormat="1" ht="12.75">
      <c r="A241" s="21"/>
      <c r="B241" s="21"/>
      <c r="C241" s="21"/>
      <c r="D241" s="21"/>
      <c r="E241" s="20"/>
      <c r="F241" s="21"/>
      <c r="G241" s="21"/>
      <c r="H241" s="21"/>
      <c r="I241" s="21"/>
    </row>
    <row r="242" spans="1:9" s="169" customFormat="1" ht="12.75">
      <c r="A242" s="21"/>
      <c r="B242" s="21"/>
      <c r="C242" s="21"/>
      <c r="D242" s="21"/>
      <c r="E242" s="20"/>
      <c r="F242" s="21"/>
      <c r="G242" s="21"/>
      <c r="H242" s="21"/>
      <c r="I242" s="21"/>
    </row>
    <row r="243" spans="1:9" s="169" customFormat="1" ht="12.75">
      <c r="A243" s="21"/>
      <c r="B243" s="21"/>
      <c r="C243" s="21"/>
      <c r="D243" s="21"/>
      <c r="E243" s="20"/>
      <c r="F243" s="21"/>
      <c r="G243" s="21"/>
      <c r="H243" s="21"/>
      <c r="I243" s="21"/>
    </row>
    <row r="244" spans="1:9" s="169" customFormat="1" ht="12.75">
      <c r="A244" s="21"/>
      <c r="B244" s="21"/>
      <c r="C244" s="21"/>
      <c r="D244" s="21"/>
      <c r="E244" s="20"/>
      <c r="F244" s="21"/>
      <c r="G244" s="21"/>
      <c r="H244" s="21"/>
      <c r="I244" s="21"/>
    </row>
    <row r="245" spans="1:9" s="169" customFormat="1" ht="12.75">
      <c r="A245" s="21"/>
      <c r="B245" s="21"/>
      <c r="C245" s="21"/>
      <c r="D245" s="21"/>
      <c r="E245" s="20"/>
      <c r="F245" s="21"/>
      <c r="G245" s="21"/>
      <c r="H245" s="21"/>
      <c r="I245" s="21"/>
    </row>
    <row r="246" spans="1:9" s="169" customFormat="1" ht="12.75">
      <c r="A246" s="21"/>
      <c r="B246" s="21"/>
      <c r="C246" s="21"/>
      <c r="D246" s="21"/>
      <c r="E246" s="20"/>
      <c r="F246" s="21"/>
      <c r="G246" s="21"/>
      <c r="H246" s="21"/>
      <c r="I246" s="21"/>
    </row>
    <row r="247" spans="1:9" s="169" customFormat="1" ht="12.75">
      <c r="A247" s="21"/>
      <c r="B247" s="21"/>
      <c r="C247" s="21"/>
      <c r="D247" s="21"/>
      <c r="E247" s="20"/>
      <c r="F247" s="21"/>
      <c r="G247" s="21"/>
      <c r="H247" s="21"/>
      <c r="I247" s="21"/>
    </row>
    <row r="248" spans="1:9" s="169" customFormat="1" ht="12.75">
      <c r="A248" s="21"/>
      <c r="B248" s="21"/>
      <c r="C248" s="21"/>
      <c r="D248" s="21"/>
      <c r="E248" s="20"/>
      <c r="F248" s="21"/>
      <c r="G248" s="21"/>
      <c r="H248" s="21"/>
      <c r="I248" s="21"/>
    </row>
    <row r="249" spans="1:9" s="169" customFormat="1" ht="12.75">
      <c r="A249" s="21"/>
      <c r="B249" s="21"/>
      <c r="C249" s="21"/>
      <c r="D249" s="21"/>
      <c r="E249" s="20"/>
      <c r="F249" s="21"/>
      <c r="G249" s="21"/>
      <c r="H249" s="21"/>
      <c r="I249" s="21"/>
    </row>
    <row r="250" spans="1:9" s="169" customFormat="1" ht="12.75">
      <c r="A250" s="21"/>
      <c r="B250" s="21"/>
      <c r="C250" s="21"/>
      <c r="D250" s="21"/>
      <c r="E250" s="20"/>
      <c r="F250" s="21"/>
      <c r="G250" s="21"/>
      <c r="H250" s="21"/>
      <c r="I250" s="21"/>
    </row>
    <row r="251" spans="1:9" s="169" customFormat="1" ht="12.75">
      <c r="A251" s="21"/>
      <c r="B251" s="21"/>
      <c r="C251" s="21"/>
      <c r="D251" s="21"/>
      <c r="E251" s="20"/>
      <c r="F251" s="21"/>
      <c r="G251" s="21"/>
      <c r="H251" s="21"/>
      <c r="I251" s="21"/>
    </row>
    <row r="252" spans="1:9" s="169" customFormat="1" ht="12.75">
      <c r="A252" s="21"/>
      <c r="B252" s="21"/>
      <c r="C252" s="21"/>
      <c r="D252" s="21"/>
      <c r="E252" s="20"/>
      <c r="F252" s="21"/>
      <c r="G252" s="21"/>
      <c r="H252" s="21"/>
      <c r="I252" s="21"/>
    </row>
    <row r="253" spans="1:9" s="169" customFormat="1" ht="12.75">
      <c r="A253" s="21"/>
      <c r="B253" s="21"/>
      <c r="C253" s="21"/>
      <c r="D253" s="21"/>
      <c r="E253" s="20"/>
      <c r="F253" s="21"/>
      <c r="G253" s="21"/>
      <c r="H253" s="21"/>
      <c r="I253" s="21"/>
    </row>
    <row r="254" spans="1:9" s="169" customFormat="1" ht="12.75">
      <c r="A254" s="21"/>
      <c r="B254" s="21"/>
      <c r="C254" s="21"/>
      <c r="D254" s="21"/>
      <c r="E254" s="20"/>
      <c r="F254" s="21"/>
      <c r="G254" s="21"/>
      <c r="H254" s="21"/>
      <c r="I254" s="21"/>
    </row>
    <row r="255" spans="1:9" s="169" customFormat="1" ht="12.75">
      <c r="A255" s="21"/>
      <c r="B255" s="21"/>
      <c r="C255" s="21"/>
      <c r="D255" s="21"/>
      <c r="E255" s="20"/>
      <c r="F255" s="21"/>
      <c r="G255" s="21"/>
      <c r="H255" s="21"/>
      <c r="I255" s="21"/>
    </row>
    <row r="256" spans="1:9" s="169" customFormat="1" ht="12.75">
      <c r="A256" s="21"/>
      <c r="B256" s="21"/>
      <c r="C256" s="21"/>
      <c r="D256" s="21"/>
      <c r="E256" s="20"/>
      <c r="F256" s="21"/>
      <c r="G256" s="21"/>
      <c r="H256" s="21"/>
      <c r="I256" s="21"/>
    </row>
    <row r="257" spans="1:9" s="169" customFormat="1" ht="12.75">
      <c r="A257" s="21"/>
      <c r="B257" s="21"/>
      <c r="C257" s="21"/>
      <c r="D257" s="21"/>
      <c r="E257" s="20"/>
      <c r="F257" s="21"/>
      <c r="G257" s="21"/>
      <c r="H257" s="21"/>
      <c r="I257" s="21"/>
    </row>
    <row r="258" spans="1:9" s="169" customFormat="1" ht="12.75">
      <c r="A258" s="21"/>
      <c r="B258" s="21"/>
      <c r="C258" s="21"/>
      <c r="D258" s="21"/>
      <c r="E258" s="20"/>
      <c r="F258" s="21"/>
      <c r="G258" s="21"/>
      <c r="H258" s="21"/>
      <c r="I258" s="21"/>
    </row>
    <row r="259" spans="1:9" s="169" customFormat="1" ht="12.75">
      <c r="A259" s="21"/>
      <c r="B259" s="21"/>
      <c r="C259" s="21"/>
      <c r="D259" s="21"/>
      <c r="E259" s="20"/>
      <c r="F259" s="21"/>
      <c r="G259" s="21"/>
      <c r="H259" s="21"/>
      <c r="I259" s="21"/>
    </row>
    <row r="260" spans="1:9" s="169" customFormat="1" ht="12.75">
      <c r="A260" s="21"/>
      <c r="B260" s="21"/>
      <c r="C260" s="21"/>
      <c r="D260" s="21"/>
      <c r="E260" s="20"/>
      <c r="F260" s="21"/>
      <c r="G260" s="21"/>
      <c r="H260" s="21"/>
      <c r="I260" s="21"/>
    </row>
    <row r="261" spans="1:9" s="169" customFormat="1" ht="12.75">
      <c r="A261" s="21"/>
      <c r="B261" s="21"/>
      <c r="C261" s="21"/>
      <c r="D261" s="21"/>
      <c r="E261" s="20"/>
      <c r="F261" s="21"/>
      <c r="G261" s="21"/>
      <c r="H261" s="21"/>
      <c r="I261" s="21"/>
    </row>
    <row r="262" spans="1:9" s="169" customFormat="1" ht="12.75">
      <c r="A262" s="21"/>
      <c r="B262" s="21"/>
      <c r="C262" s="21"/>
      <c r="D262" s="21"/>
      <c r="E262" s="20"/>
      <c r="F262" s="21"/>
      <c r="G262" s="21"/>
      <c r="H262" s="21"/>
      <c r="I262" s="21"/>
    </row>
    <row r="263" spans="1:9" s="169" customFormat="1" ht="12.75">
      <c r="A263" s="21"/>
      <c r="B263" s="21"/>
      <c r="C263" s="21"/>
      <c r="D263" s="21"/>
      <c r="E263" s="20"/>
      <c r="F263" s="21"/>
      <c r="G263" s="21"/>
      <c r="H263" s="21"/>
      <c r="I263" s="21"/>
    </row>
    <row r="264" spans="1:9" s="169" customFormat="1" ht="12.75">
      <c r="A264" s="21"/>
      <c r="B264" s="21"/>
      <c r="C264" s="21"/>
      <c r="D264" s="21"/>
      <c r="E264" s="20"/>
      <c r="F264" s="21"/>
      <c r="G264" s="21"/>
      <c r="H264" s="21"/>
      <c r="I264" s="21"/>
    </row>
    <row r="265" spans="1:9" s="169" customFormat="1" ht="12.75">
      <c r="A265" s="21"/>
      <c r="B265" s="21"/>
      <c r="C265" s="21"/>
      <c r="D265" s="21"/>
      <c r="E265" s="20"/>
      <c r="F265" s="21"/>
      <c r="G265" s="21"/>
      <c r="H265" s="21"/>
      <c r="I265" s="21"/>
    </row>
    <row r="266" spans="1:9" s="169" customFormat="1" ht="12.75">
      <c r="A266" s="21"/>
      <c r="B266" s="21"/>
      <c r="C266" s="21"/>
      <c r="D266" s="21"/>
      <c r="E266" s="20"/>
      <c r="F266" s="21"/>
      <c r="G266" s="21"/>
      <c r="H266" s="21"/>
      <c r="I266" s="21"/>
    </row>
    <row r="267" spans="1:9" s="169" customFormat="1" ht="12.75">
      <c r="A267" s="21"/>
      <c r="B267" s="21"/>
      <c r="C267" s="21"/>
      <c r="D267" s="21"/>
      <c r="E267" s="20"/>
      <c r="F267" s="21"/>
      <c r="G267" s="21"/>
      <c r="H267" s="21"/>
      <c r="I267" s="21"/>
    </row>
    <row r="268" spans="1:9" s="169" customFormat="1" ht="12.75">
      <c r="A268" s="21"/>
      <c r="B268" s="21"/>
      <c r="C268" s="21"/>
      <c r="D268" s="21"/>
      <c r="E268" s="20"/>
      <c r="F268" s="21"/>
      <c r="G268" s="21"/>
      <c r="H268" s="21"/>
      <c r="I268" s="21"/>
    </row>
    <row r="269" spans="1:9" s="169" customFormat="1" ht="12.75">
      <c r="A269" s="21"/>
      <c r="B269" s="21"/>
      <c r="C269" s="21"/>
      <c r="D269" s="21"/>
      <c r="E269" s="20"/>
      <c r="F269" s="21"/>
      <c r="G269" s="21"/>
      <c r="H269" s="21"/>
      <c r="I269" s="21"/>
    </row>
    <row r="270" spans="1:9" s="169" customFormat="1" ht="12.75">
      <c r="A270" s="21"/>
      <c r="B270" s="21"/>
      <c r="C270" s="21"/>
      <c r="D270" s="21"/>
      <c r="E270" s="20"/>
      <c r="F270" s="21"/>
      <c r="G270" s="21"/>
      <c r="H270" s="21"/>
      <c r="I270" s="21"/>
    </row>
    <row r="271" spans="1:9" s="169" customFormat="1" ht="12.75">
      <c r="A271" s="21"/>
      <c r="B271" s="21"/>
      <c r="C271" s="21"/>
      <c r="D271" s="21"/>
      <c r="E271" s="20"/>
      <c r="F271" s="21"/>
      <c r="G271" s="21"/>
      <c r="H271" s="21"/>
      <c r="I271" s="21"/>
    </row>
    <row r="272" spans="1:9" s="169" customFormat="1" ht="12.75">
      <c r="A272" s="21"/>
      <c r="B272" s="21"/>
      <c r="C272" s="21"/>
      <c r="D272" s="21"/>
      <c r="E272" s="20"/>
      <c r="F272" s="21"/>
      <c r="G272" s="21"/>
      <c r="H272" s="21"/>
      <c r="I272" s="21"/>
    </row>
    <row r="273" spans="1:9" s="169" customFormat="1" ht="12.75">
      <c r="A273" s="21"/>
      <c r="B273" s="21"/>
      <c r="C273" s="21"/>
      <c r="D273" s="21"/>
      <c r="E273" s="20"/>
      <c r="F273" s="21"/>
      <c r="G273" s="21"/>
      <c r="H273" s="21"/>
      <c r="I273" s="21"/>
    </row>
    <row r="274" spans="1:9" s="169" customFormat="1" ht="12.75">
      <c r="A274" s="21"/>
      <c r="B274" s="21"/>
      <c r="C274" s="21"/>
      <c r="D274" s="21"/>
      <c r="E274" s="20"/>
      <c r="F274" s="21"/>
      <c r="G274" s="21"/>
      <c r="H274" s="21"/>
      <c r="I274" s="21"/>
    </row>
    <row r="275" spans="1:9" s="169" customFormat="1" ht="12.75">
      <c r="A275" s="21"/>
      <c r="B275" s="21"/>
      <c r="C275" s="21"/>
      <c r="D275" s="21"/>
      <c r="E275" s="20"/>
      <c r="F275" s="21"/>
      <c r="G275" s="21"/>
      <c r="H275" s="21"/>
      <c r="I275" s="21"/>
    </row>
    <row r="276" spans="1:9" s="169" customFormat="1" ht="12.75">
      <c r="A276" s="21"/>
      <c r="B276" s="21"/>
      <c r="C276" s="21"/>
      <c r="D276" s="21"/>
      <c r="E276" s="20"/>
      <c r="F276" s="21"/>
      <c r="G276" s="21"/>
      <c r="H276" s="21"/>
      <c r="I276" s="21"/>
    </row>
    <row r="277" spans="1:9" s="169" customFormat="1" ht="12.75">
      <c r="A277" s="21"/>
      <c r="B277" s="21"/>
      <c r="C277" s="21"/>
      <c r="D277" s="21"/>
      <c r="E277" s="20"/>
      <c r="F277" s="21"/>
      <c r="G277" s="21"/>
      <c r="H277" s="21"/>
      <c r="I277" s="21"/>
    </row>
    <row r="278" spans="1:9" s="169" customFormat="1" ht="12.75">
      <c r="A278" s="21"/>
      <c r="B278" s="21"/>
      <c r="C278" s="21"/>
      <c r="D278" s="21"/>
      <c r="E278" s="20"/>
      <c r="F278" s="21"/>
      <c r="G278" s="21"/>
      <c r="H278" s="21"/>
      <c r="I278" s="21"/>
    </row>
    <row r="279" spans="1:9" s="169" customFormat="1" ht="12.75">
      <c r="A279" s="21"/>
      <c r="B279" s="21"/>
      <c r="C279" s="21"/>
      <c r="D279" s="21"/>
      <c r="E279" s="20"/>
      <c r="F279" s="21"/>
      <c r="G279" s="21"/>
      <c r="H279" s="21"/>
      <c r="I279" s="21"/>
    </row>
    <row r="280" spans="1:9" s="169" customFormat="1" ht="12.75">
      <c r="A280" s="21"/>
      <c r="B280" s="21"/>
      <c r="C280" s="21"/>
      <c r="D280" s="21"/>
      <c r="E280" s="20"/>
      <c r="F280" s="21"/>
      <c r="G280" s="21"/>
      <c r="H280" s="21"/>
      <c r="I280" s="21"/>
    </row>
    <row r="281" spans="1:9" s="169" customFormat="1" ht="12.75">
      <c r="A281" s="21"/>
      <c r="B281" s="21"/>
      <c r="C281" s="21"/>
      <c r="D281" s="21"/>
      <c r="E281" s="20"/>
      <c r="F281" s="21"/>
      <c r="G281" s="21"/>
      <c r="H281" s="21"/>
      <c r="I281" s="21"/>
    </row>
    <row r="282" spans="1:9" s="169" customFormat="1" ht="12.75">
      <c r="A282" s="21"/>
      <c r="B282" s="21"/>
      <c r="C282" s="21"/>
      <c r="D282" s="21"/>
      <c r="E282" s="20"/>
      <c r="F282" s="21"/>
      <c r="G282" s="21"/>
      <c r="H282" s="21"/>
      <c r="I282" s="21"/>
    </row>
    <row r="283" spans="1:9" s="169" customFormat="1" ht="12.75">
      <c r="A283" s="21"/>
      <c r="B283" s="21"/>
      <c r="C283" s="21"/>
      <c r="D283" s="21"/>
      <c r="E283" s="20"/>
      <c r="F283" s="21"/>
      <c r="G283" s="21"/>
      <c r="H283" s="21"/>
      <c r="I283" s="21"/>
    </row>
    <row r="284" spans="1:9" s="169" customFormat="1" ht="12.75">
      <c r="A284" s="21"/>
      <c r="B284" s="21"/>
      <c r="C284" s="21"/>
      <c r="D284" s="21"/>
      <c r="E284" s="20"/>
      <c r="F284" s="21"/>
      <c r="G284" s="21"/>
      <c r="H284" s="21"/>
      <c r="I284" s="21"/>
    </row>
    <row r="285" spans="1:9" s="169" customFormat="1" ht="12.75">
      <c r="A285" s="21"/>
      <c r="B285" s="21"/>
      <c r="C285" s="21"/>
      <c r="D285" s="21"/>
      <c r="E285" s="20"/>
      <c r="F285" s="21"/>
      <c r="G285" s="21"/>
      <c r="H285" s="21"/>
      <c r="I285" s="21"/>
    </row>
    <row r="286" spans="1:9" s="169" customFormat="1" ht="12.75">
      <c r="A286" s="21"/>
      <c r="B286" s="21"/>
      <c r="C286" s="21"/>
      <c r="D286" s="21"/>
      <c r="E286" s="20"/>
      <c r="F286" s="21"/>
      <c r="G286" s="21"/>
      <c r="H286" s="21"/>
      <c r="I286" s="21"/>
    </row>
    <row r="287" spans="1:9" s="169" customFormat="1" ht="12.75">
      <c r="A287" s="21"/>
      <c r="B287" s="21"/>
      <c r="C287" s="21"/>
      <c r="D287" s="21"/>
      <c r="E287" s="20"/>
      <c r="F287" s="21"/>
      <c r="G287" s="21"/>
      <c r="H287" s="21"/>
      <c r="I287" s="21"/>
    </row>
    <row r="288" spans="1:9" s="169" customFormat="1" ht="12.75">
      <c r="A288" s="21"/>
      <c r="B288" s="21"/>
      <c r="C288" s="21"/>
      <c r="D288" s="21"/>
      <c r="E288" s="20"/>
      <c r="F288" s="21"/>
      <c r="G288" s="21"/>
      <c r="H288" s="21"/>
      <c r="I288" s="21"/>
    </row>
    <row r="289" spans="1:9" s="169" customFormat="1" ht="12.75">
      <c r="A289" s="21"/>
      <c r="B289" s="21"/>
      <c r="C289" s="21"/>
      <c r="D289" s="21"/>
      <c r="E289" s="20"/>
      <c r="F289" s="21"/>
      <c r="G289" s="21"/>
      <c r="H289" s="21"/>
      <c r="I289" s="21"/>
    </row>
    <row r="290" spans="1:9" s="169" customFormat="1" ht="12.75">
      <c r="A290" s="21"/>
      <c r="B290" s="21"/>
      <c r="C290" s="21"/>
      <c r="D290" s="21"/>
      <c r="E290" s="20"/>
      <c r="F290" s="21"/>
      <c r="G290" s="21"/>
      <c r="H290" s="21"/>
      <c r="I290" s="21"/>
    </row>
    <row r="291" spans="1:9" s="169" customFormat="1" ht="12.75">
      <c r="A291" s="21"/>
      <c r="B291" s="21"/>
      <c r="C291" s="21"/>
      <c r="D291" s="21"/>
      <c r="E291" s="20"/>
      <c r="F291" s="21"/>
      <c r="G291" s="21"/>
      <c r="H291" s="21"/>
      <c r="I291" s="21"/>
    </row>
    <row r="292" spans="1:9" s="169" customFormat="1" ht="12.75">
      <c r="A292" s="21"/>
      <c r="B292" s="21"/>
      <c r="C292" s="21"/>
      <c r="D292" s="21"/>
      <c r="E292" s="20"/>
      <c r="F292" s="21"/>
      <c r="G292" s="21"/>
      <c r="H292" s="21"/>
      <c r="I292" s="21"/>
    </row>
    <row r="293" spans="1:9" s="169" customFormat="1" ht="12.75">
      <c r="A293" s="21"/>
      <c r="B293" s="21"/>
      <c r="C293" s="21"/>
      <c r="D293" s="21"/>
      <c r="E293" s="20"/>
      <c r="F293" s="21"/>
      <c r="G293" s="21"/>
      <c r="H293" s="21"/>
      <c r="I293" s="21"/>
    </row>
    <row r="294" spans="1:9" s="169" customFormat="1" ht="12.75">
      <c r="A294" s="21"/>
      <c r="B294" s="21"/>
      <c r="C294" s="21"/>
      <c r="D294" s="21"/>
      <c r="E294" s="20"/>
      <c r="F294" s="21"/>
      <c r="G294" s="21"/>
      <c r="H294" s="21"/>
      <c r="I294" s="21"/>
    </row>
    <row r="295" spans="1:9" s="169" customFormat="1" ht="12.75">
      <c r="A295" s="21"/>
      <c r="B295" s="21"/>
      <c r="C295" s="21"/>
      <c r="D295" s="21"/>
      <c r="E295" s="20"/>
      <c r="F295" s="21"/>
      <c r="G295" s="21"/>
      <c r="H295" s="21"/>
      <c r="I295" s="21"/>
    </row>
    <row r="296" spans="1:9" s="169" customFormat="1" ht="12.75">
      <c r="A296" s="21"/>
      <c r="B296" s="21"/>
      <c r="C296" s="21"/>
      <c r="D296" s="21"/>
      <c r="E296" s="20"/>
      <c r="F296" s="21"/>
      <c r="G296" s="21"/>
      <c r="H296" s="21"/>
      <c r="I296" s="21"/>
    </row>
    <row r="297" spans="1:9" s="169" customFormat="1" ht="12.75">
      <c r="A297" s="21"/>
      <c r="B297" s="21"/>
      <c r="C297" s="21"/>
      <c r="D297" s="21"/>
      <c r="E297" s="20"/>
      <c r="F297" s="21"/>
      <c r="G297" s="21"/>
      <c r="H297" s="21"/>
      <c r="I297" s="21"/>
    </row>
    <row r="298" spans="1:9" s="169" customFormat="1" ht="12.75">
      <c r="A298" s="21"/>
      <c r="B298" s="21"/>
      <c r="C298" s="21"/>
      <c r="D298" s="21"/>
      <c r="E298" s="20"/>
      <c r="F298" s="21"/>
      <c r="G298" s="21"/>
      <c r="H298" s="21"/>
      <c r="I298" s="21"/>
    </row>
    <row r="299" spans="1:9" s="169" customFormat="1" ht="12.75">
      <c r="A299" s="21"/>
      <c r="B299" s="21"/>
      <c r="C299" s="21"/>
      <c r="D299" s="21"/>
      <c r="E299" s="20"/>
      <c r="F299" s="21"/>
      <c r="G299" s="21"/>
      <c r="H299" s="21"/>
      <c r="I299" s="21"/>
    </row>
    <row r="300" spans="1:9" s="169" customFormat="1" ht="12.75">
      <c r="A300" s="21"/>
      <c r="B300" s="21"/>
      <c r="C300" s="21"/>
      <c r="D300" s="21"/>
      <c r="E300" s="20"/>
      <c r="F300" s="21"/>
      <c r="G300" s="21"/>
      <c r="H300" s="21"/>
      <c r="I300" s="21"/>
    </row>
    <row r="301" spans="1:9" s="169" customFormat="1" ht="12.75">
      <c r="A301" s="21"/>
      <c r="B301" s="21"/>
      <c r="C301" s="21"/>
      <c r="D301" s="21"/>
      <c r="E301" s="20"/>
      <c r="F301" s="21"/>
      <c r="G301" s="21"/>
      <c r="H301" s="21"/>
      <c r="I301" s="21"/>
    </row>
    <row r="302" spans="1:9" s="169" customFormat="1" ht="12.75">
      <c r="A302" s="21"/>
      <c r="B302" s="21"/>
      <c r="C302" s="21"/>
      <c r="D302" s="21"/>
      <c r="E302" s="20"/>
      <c r="F302" s="21"/>
      <c r="G302" s="21"/>
      <c r="H302" s="21"/>
      <c r="I302" s="21"/>
    </row>
    <row r="303" spans="1:9" s="169" customFormat="1" ht="12.75">
      <c r="A303" s="21"/>
      <c r="B303" s="21"/>
      <c r="C303" s="21"/>
      <c r="D303" s="21"/>
      <c r="E303" s="20"/>
      <c r="F303" s="21"/>
      <c r="G303" s="21"/>
      <c r="H303" s="21"/>
      <c r="I303" s="21"/>
    </row>
    <row r="304" spans="1:9" s="169" customFormat="1" ht="12.75">
      <c r="A304" s="21"/>
      <c r="B304" s="21"/>
      <c r="C304" s="21"/>
      <c r="D304" s="21"/>
      <c r="E304" s="20"/>
      <c r="F304" s="21"/>
      <c r="G304" s="21"/>
      <c r="H304" s="21"/>
      <c r="I304" s="21"/>
    </row>
    <row r="305" spans="1:9" s="169" customFormat="1" ht="12.75">
      <c r="A305" s="21"/>
      <c r="B305" s="21"/>
      <c r="C305" s="21"/>
      <c r="D305" s="21"/>
      <c r="E305" s="20"/>
      <c r="F305" s="21"/>
      <c r="G305" s="21"/>
      <c r="H305" s="21"/>
      <c r="I305" s="21"/>
    </row>
    <row r="306" spans="1:9" s="169" customFormat="1" ht="12.75">
      <c r="A306" s="21"/>
      <c r="B306" s="21"/>
      <c r="C306" s="21"/>
      <c r="D306" s="21"/>
      <c r="E306" s="20"/>
      <c r="F306" s="21"/>
      <c r="G306" s="21"/>
      <c r="H306" s="21"/>
      <c r="I306" s="21"/>
    </row>
    <row r="307" spans="1:9" s="169" customFormat="1" ht="12.75">
      <c r="A307" s="21"/>
      <c r="B307" s="21"/>
      <c r="C307" s="21"/>
      <c r="D307" s="21"/>
      <c r="E307" s="20"/>
      <c r="F307" s="21"/>
      <c r="G307" s="21"/>
      <c r="H307" s="21"/>
      <c r="I307" s="21"/>
    </row>
    <row r="308" spans="1:9" s="169" customFormat="1" ht="12.75">
      <c r="A308" s="21"/>
      <c r="B308" s="21"/>
      <c r="C308" s="21"/>
      <c r="D308" s="21"/>
      <c r="E308" s="20"/>
      <c r="F308" s="21"/>
      <c r="G308" s="21"/>
      <c r="H308" s="21"/>
      <c r="I308" s="21"/>
    </row>
    <row r="309" spans="1:9" s="169" customFormat="1" ht="12.75">
      <c r="A309" s="21"/>
      <c r="B309" s="21"/>
      <c r="C309" s="21"/>
      <c r="D309" s="21"/>
      <c r="E309" s="20"/>
      <c r="F309" s="21"/>
      <c r="G309" s="21"/>
      <c r="H309" s="21"/>
      <c r="I309" s="21"/>
    </row>
    <row r="310" spans="1:9" s="169" customFormat="1" ht="12.75">
      <c r="A310" s="21"/>
      <c r="B310" s="21"/>
      <c r="C310" s="21"/>
      <c r="D310" s="21"/>
      <c r="E310" s="20"/>
      <c r="F310" s="21"/>
      <c r="G310" s="21"/>
      <c r="H310" s="21"/>
      <c r="I310" s="21"/>
    </row>
    <row r="311" spans="1:9" s="169" customFormat="1" ht="12.75">
      <c r="A311" s="21"/>
      <c r="B311" s="21"/>
      <c r="C311" s="21"/>
      <c r="D311" s="21"/>
      <c r="E311" s="20"/>
      <c r="F311" s="21"/>
      <c r="G311" s="21"/>
      <c r="H311" s="21"/>
      <c r="I311" s="21"/>
    </row>
    <row r="312" spans="1:9" s="169" customFormat="1" ht="12.75">
      <c r="A312" s="21"/>
      <c r="B312" s="21"/>
      <c r="C312" s="21"/>
      <c r="D312" s="21"/>
      <c r="E312" s="20"/>
      <c r="F312" s="21"/>
      <c r="G312" s="21"/>
      <c r="H312" s="21"/>
      <c r="I312" s="21"/>
    </row>
    <row r="313" spans="1:9" s="169" customFormat="1" ht="12.75">
      <c r="A313" s="21"/>
      <c r="B313" s="21"/>
      <c r="C313" s="21"/>
      <c r="D313" s="21"/>
      <c r="E313" s="20"/>
      <c r="F313" s="21"/>
      <c r="G313" s="21"/>
      <c r="H313" s="21"/>
      <c r="I313" s="21"/>
    </row>
    <row r="314" spans="1:9" s="169" customFormat="1" ht="12.75">
      <c r="A314" s="21"/>
      <c r="B314" s="21"/>
      <c r="C314" s="21"/>
      <c r="D314" s="21"/>
      <c r="E314" s="20"/>
      <c r="F314" s="21"/>
      <c r="G314" s="21"/>
      <c r="H314" s="21"/>
      <c r="I314" s="21"/>
    </row>
    <row r="315" spans="1:9" s="169" customFormat="1" ht="12.75">
      <c r="A315" s="21"/>
      <c r="B315" s="21"/>
      <c r="C315" s="21"/>
      <c r="D315" s="21"/>
      <c r="E315" s="20"/>
      <c r="F315" s="21"/>
      <c r="G315" s="21"/>
      <c r="H315" s="21"/>
      <c r="I315" s="21"/>
    </row>
    <row r="316" spans="1:9" s="169" customFormat="1" ht="12.75">
      <c r="A316" s="21"/>
      <c r="B316" s="21"/>
      <c r="C316" s="21"/>
      <c r="D316" s="21"/>
      <c r="E316" s="20"/>
      <c r="F316" s="21"/>
      <c r="G316" s="21"/>
      <c r="H316" s="21"/>
      <c r="I316" s="21"/>
    </row>
    <row r="317" spans="1:9" s="169" customFormat="1" ht="12.75">
      <c r="A317" s="21"/>
      <c r="B317" s="21"/>
      <c r="C317" s="21"/>
      <c r="D317" s="21"/>
      <c r="E317" s="20"/>
      <c r="F317" s="21"/>
      <c r="G317" s="21"/>
      <c r="H317" s="21"/>
      <c r="I317" s="21"/>
    </row>
    <row r="318" spans="1:9" s="169" customFormat="1" ht="12.75">
      <c r="A318" s="21"/>
      <c r="B318" s="21"/>
      <c r="C318" s="21"/>
      <c r="D318" s="21"/>
      <c r="E318" s="20"/>
      <c r="F318" s="21"/>
      <c r="G318" s="21"/>
      <c r="H318" s="21"/>
      <c r="I318" s="21"/>
    </row>
    <row r="319" spans="1:9" s="169" customFormat="1" ht="12.75">
      <c r="A319" s="21"/>
      <c r="B319" s="21"/>
      <c r="C319" s="21"/>
      <c r="D319" s="21"/>
      <c r="E319" s="20"/>
      <c r="F319" s="21"/>
      <c r="G319" s="21"/>
      <c r="H319" s="21"/>
      <c r="I319" s="21"/>
    </row>
    <row r="320" spans="1:9" s="169" customFormat="1" ht="12.75">
      <c r="A320" s="21"/>
      <c r="B320" s="21"/>
      <c r="C320" s="21"/>
      <c r="D320" s="21"/>
      <c r="E320" s="20"/>
      <c r="F320" s="21"/>
      <c r="G320" s="21"/>
      <c r="H320" s="21"/>
      <c r="I320" s="21"/>
    </row>
    <row r="321" spans="1:9" s="169" customFormat="1" ht="12.75">
      <c r="A321" s="21"/>
      <c r="B321" s="21"/>
      <c r="C321" s="21"/>
      <c r="D321" s="21"/>
      <c r="E321" s="20"/>
      <c r="F321" s="21"/>
      <c r="G321" s="21"/>
      <c r="H321" s="21"/>
      <c r="I321" s="21"/>
    </row>
    <row r="322" spans="1:9" s="169" customFormat="1" ht="12.75">
      <c r="A322" s="21"/>
      <c r="B322" s="21"/>
      <c r="C322" s="21"/>
      <c r="D322" s="21"/>
      <c r="E322" s="20"/>
      <c r="F322" s="21"/>
      <c r="G322" s="21"/>
      <c r="H322" s="21"/>
      <c r="I322" s="21"/>
    </row>
    <row r="323" spans="1:9" s="169" customFormat="1" ht="12.75">
      <c r="A323" s="21"/>
      <c r="B323" s="21"/>
      <c r="C323" s="21"/>
      <c r="D323" s="21"/>
      <c r="E323" s="20"/>
      <c r="F323" s="21"/>
      <c r="G323" s="21"/>
      <c r="H323" s="21"/>
      <c r="I323" s="21"/>
    </row>
    <row r="324" spans="1:9" s="169" customFormat="1" ht="12.75">
      <c r="A324" s="21"/>
      <c r="B324" s="21"/>
      <c r="C324" s="21"/>
      <c r="D324" s="21"/>
      <c r="E324" s="20"/>
      <c r="F324" s="21"/>
      <c r="G324" s="21"/>
      <c r="H324" s="21"/>
      <c r="I324" s="21"/>
    </row>
    <row r="325" spans="1:9" s="169" customFormat="1" ht="12.75">
      <c r="A325" s="21"/>
      <c r="B325" s="21"/>
      <c r="C325" s="21"/>
      <c r="D325" s="21"/>
      <c r="E325" s="20"/>
      <c r="F325" s="21"/>
      <c r="G325" s="21"/>
      <c r="H325" s="21"/>
      <c r="I325" s="21"/>
    </row>
    <row r="326" spans="1:9" s="169" customFormat="1" ht="12.75">
      <c r="A326" s="21"/>
      <c r="B326" s="21"/>
      <c r="C326" s="21"/>
      <c r="D326" s="21"/>
      <c r="E326" s="20"/>
      <c r="F326" s="21"/>
      <c r="G326" s="21"/>
      <c r="H326" s="21"/>
      <c r="I326" s="21"/>
    </row>
    <row r="327" spans="1:9" s="169" customFormat="1" ht="12.75">
      <c r="A327" s="21"/>
      <c r="B327" s="21"/>
      <c r="C327" s="21"/>
      <c r="D327" s="21"/>
      <c r="E327" s="20"/>
      <c r="F327" s="21"/>
      <c r="G327" s="21"/>
      <c r="H327" s="21"/>
      <c r="I327" s="21"/>
    </row>
    <row r="328" spans="1:9" s="169" customFormat="1" ht="12.75">
      <c r="A328" s="21"/>
      <c r="B328" s="21"/>
      <c r="C328" s="21"/>
      <c r="D328" s="21"/>
      <c r="E328" s="20"/>
      <c r="F328" s="21"/>
      <c r="G328" s="21"/>
      <c r="H328" s="21"/>
      <c r="I328" s="21"/>
    </row>
    <row r="329" spans="1:9" s="169" customFormat="1" ht="12.75">
      <c r="A329" s="21"/>
      <c r="B329" s="21"/>
      <c r="C329" s="21"/>
      <c r="D329" s="21"/>
      <c r="E329" s="20"/>
      <c r="F329" s="21"/>
      <c r="G329" s="21"/>
      <c r="H329" s="21"/>
      <c r="I329" s="21"/>
    </row>
    <row r="330" spans="1:9" s="169" customFormat="1" ht="12.75">
      <c r="A330" s="21"/>
      <c r="B330" s="21"/>
      <c r="C330" s="21"/>
      <c r="D330" s="21"/>
      <c r="E330" s="20"/>
      <c r="F330" s="21"/>
      <c r="G330" s="21"/>
      <c r="H330" s="21"/>
      <c r="I330" s="21"/>
    </row>
    <row r="331" spans="1:9" s="169" customFormat="1" ht="12.75">
      <c r="A331" s="21"/>
      <c r="B331" s="21"/>
      <c r="C331" s="21"/>
      <c r="D331" s="21"/>
      <c r="E331" s="20"/>
      <c r="F331" s="21"/>
      <c r="G331" s="21"/>
      <c r="H331" s="21"/>
      <c r="I331" s="21"/>
    </row>
    <row r="332" spans="1:9" s="169" customFormat="1" ht="12.75">
      <c r="A332" s="21"/>
      <c r="B332" s="21"/>
      <c r="C332" s="21"/>
      <c r="D332" s="21"/>
      <c r="E332" s="20"/>
      <c r="F332" s="21"/>
      <c r="G332" s="21"/>
      <c r="H332" s="21"/>
      <c r="I332" s="21"/>
    </row>
    <row r="333" spans="1:9" s="169" customFormat="1" ht="12.75">
      <c r="A333" s="21"/>
      <c r="B333" s="21"/>
      <c r="C333" s="21"/>
      <c r="D333" s="21"/>
      <c r="E333" s="20"/>
      <c r="F333" s="21"/>
      <c r="G333" s="21"/>
      <c r="H333" s="21"/>
      <c r="I333" s="21"/>
    </row>
    <row r="334" spans="1:9" s="169" customFormat="1" ht="12.75">
      <c r="A334" s="21"/>
      <c r="B334" s="21"/>
      <c r="C334" s="21"/>
      <c r="D334" s="21"/>
      <c r="E334" s="20"/>
      <c r="F334" s="21"/>
      <c r="G334" s="21"/>
      <c r="H334" s="21"/>
      <c r="I334" s="21"/>
    </row>
    <row r="335" spans="1:9" s="169" customFormat="1" ht="12.75">
      <c r="A335" s="21"/>
      <c r="B335" s="21"/>
      <c r="C335" s="21"/>
      <c r="D335" s="21"/>
      <c r="E335" s="20"/>
      <c r="F335" s="21"/>
      <c r="G335" s="21"/>
      <c r="H335" s="21"/>
      <c r="I335" s="21"/>
    </row>
    <row r="336" spans="1:9" s="169" customFormat="1" ht="12.75">
      <c r="A336" s="21"/>
      <c r="B336" s="21"/>
      <c r="C336" s="21"/>
      <c r="D336" s="21"/>
      <c r="E336" s="20"/>
      <c r="F336" s="21"/>
      <c r="G336" s="21"/>
      <c r="H336" s="21"/>
      <c r="I336" s="21"/>
    </row>
    <row r="337" spans="1:9" s="169" customFormat="1" ht="12.75">
      <c r="A337" s="21"/>
      <c r="B337" s="21"/>
      <c r="C337" s="21"/>
      <c r="D337" s="21"/>
      <c r="E337" s="20"/>
      <c r="F337" s="21"/>
      <c r="G337" s="21"/>
      <c r="H337" s="21"/>
      <c r="I337" s="21"/>
    </row>
    <row r="338" spans="1:9" s="169" customFormat="1" ht="12.75">
      <c r="A338" s="21"/>
      <c r="B338" s="21"/>
      <c r="C338" s="21"/>
      <c r="D338" s="21"/>
      <c r="E338" s="20"/>
      <c r="F338" s="21"/>
      <c r="G338" s="21"/>
      <c r="H338" s="21"/>
      <c r="I338" s="21"/>
    </row>
    <row r="339" spans="1:9" s="169" customFormat="1" ht="12.75">
      <c r="A339" s="21"/>
      <c r="B339" s="21"/>
      <c r="C339" s="21"/>
      <c r="D339" s="21"/>
      <c r="E339" s="20"/>
      <c r="F339" s="21"/>
      <c r="G339" s="21"/>
      <c r="H339" s="21"/>
      <c r="I339" s="21"/>
    </row>
    <row r="340" spans="1:9" s="169" customFormat="1" ht="12.75">
      <c r="A340" s="21"/>
      <c r="B340" s="21"/>
      <c r="C340" s="21"/>
      <c r="D340" s="21"/>
      <c r="E340" s="20"/>
      <c r="F340" s="21"/>
      <c r="G340" s="21"/>
      <c r="H340" s="21"/>
      <c r="I340" s="21"/>
    </row>
    <row r="341" spans="1:9" s="169" customFormat="1" ht="12.75">
      <c r="A341" s="21"/>
      <c r="B341" s="21"/>
      <c r="C341" s="21"/>
      <c r="D341" s="21"/>
      <c r="E341" s="20"/>
      <c r="F341" s="21"/>
      <c r="G341" s="21"/>
      <c r="H341" s="21"/>
      <c r="I341" s="21"/>
    </row>
    <row r="342" spans="1:9" s="169" customFormat="1" ht="12.75">
      <c r="A342" s="21"/>
      <c r="B342" s="21"/>
      <c r="C342" s="21"/>
      <c r="D342" s="21"/>
      <c r="E342" s="20"/>
      <c r="F342" s="21"/>
      <c r="G342" s="21"/>
      <c r="H342" s="21"/>
      <c r="I342" s="21"/>
    </row>
    <row r="343" spans="1:9" s="169" customFormat="1" ht="12.75">
      <c r="A343" s="21"/>
      <c r="B343" s="21"/>
      <c r="C343" s="21"/>
      <c r="D343" s="21"/>
      <c r="E343" s="20"/>
      <c r="F343" s="21"/>
      <c r="G343" s="21"/>
      <c r="H343" s="21"/>
      <c r="I343" s="21"/>
    </row>
    <row r="344" spans="1:9" s="169" customFormat="1" ht="12.75">
      <c r="A344" s="21"/>
      <c r="B344" s="21"/>
      <c r="C344" s="21"/>
      <c r="D344" s="21"/>
      <c r="E344" s="20"/>
      <c r="F344" s="21"/>
      <c r="G344" s="21"/>
      <c r="H344" s="21"/>
      <c r="I344" s="21"/>
    </row>
    <row r="345" spans="1:9" s="169" customFormat="1" ht="12.75">
      <c r="A345" s="21"/>
      <c r="B345" s="21"/>
      <c r="C345" s="21"/>
      <c r="D345" s="21"/>
      <c r="E345" s="20"/>
      <c r="F345" s="21"/>
      <c r="G345" s="21"/>
      <c r="H345" s="21"/>
      <c r="I345" s="21"/>
    </row>
    <row r="346" spans="1:9" s="169" customFormat="1" ht="12.75">
      <c r="A346" s="21"/>
      <c r="B346" s="21"/>
      <c r="C346" s="21"/>
      <c r="D346" s="21"/>
      <c r="E346" s="20"/>
      <c r="F346" s="21"/>
      <c r="G346" s="21"/>
      <c r="H346" s="21"/>
      <c r="I346" s="21"/>
    </row>
    <row r="347" spans="1:9" s="169" customFormat="1" ht="12.75">
      <c r="A347" s="21"/>
      <c r="B347" s="21"/>
      <c r="C347" s="21"/>
      <c r="D347" s="21"/>
      <c r="E347" s="20"/>
      <c r="F347" s="21"/>
      <c r="G347" s="21"/>
      <c r="H347" s="21"/>
      <c r="I347" s="21"/>
    </row>
    <row r="348" spans="1:9" s="169" customFormat="1" ht="12.75">
      <c r="A348" s="21"/>
      <c r="B348" s="21"/>
      <c r="C348" s="21"/>
      <c r="D348" s="21"/>
      <c r="E348" s="20"/>
      <c r="F348" s="21"/>
      <c r="G348" s="21"/>
      <c r="H348" s="21"/>
      <c r="I348" s="21"/>
    </row>
    <row r="349" spans="1:9" s="169" customFormat="1" ht="12.75">
      <c r="A349" s="21"/>
      <c r="B349" s="21"/>
      <c r="C349" s="21"/>
      <c r="D349" s="21"/>
      <c r="E349" s="20"/>
      <c r="F349" s="21"/>
      <c r="G349" s="21"/>
      <c r="H349" s="21"/>
      <c r="I349" s="21"/>
    </row>
    <row r="350" spans="1:9" s="169" customFormat="1" ht="12.75">
      <c r="A350" s="21"/>
      <c r="B350" s="21"/>
      <c r="C350" s="21"/>
      <c r="D350" s="21"/>
      <c r="E350" s="20"/>
      <c r="F350" s="21"/>
      <c r="G350" s="21"/>
      <c r="H350" s="21"/>
      <c r="I350" s="21"/>
    </row>
    <row r="351" spans="1:9" s="169" customFormat="1" ht="12.75">
      <c r="A351" s="21"/>
      <c r="B351" s="21"/>
      <c r="C351" s="21"/>
      <c r="D351" s="21"/>
      <c r="E351" s="20"/>
      <c r="F351" s="21"/>
      <c r="G351" s="21"/>
      <c r="H351" s="21"/>
      <c r="I351" s="21"/>
    </row>
    <row r="352" spans="1:9" s="169" customFormat="1" ht="12.75">
      <c r="A352" s="21"/>
      <c r="B352" s="21"/>
      <c r="C352" s="21"/>
      <c r="D352" s="21"/>
      <c r="E352" s="20"/>
      <c r="F352" s="21"/>
      <c r="G352" s="21"/>
      <c r="H352" s="21"/>
      <c r="I352" s="21"/>
    </row>
    <row r="353" spans="1:9" s="169" customFormat="1" ht="12.75">
      <c r="A353" s="21"/>
      <c r="B353" s="21"/>
      <c r="C353" s="21"/>
      <c r="D353" s="21"/>
      <c r="E353" s="20"/>
      <c r="F353" s="21"/>
      <c r="G353" s="21"/>
      <c r="H353" s="21"/>
      <c r="I353" s="21"/>
    </row>
    <row r="354" spans="1:9" s="169" customFormat="1" ht="12.75">
      <c r="A354" s="21"/>
      <c r="B354" s="21"/>
      <c r="C354" s="21"/>
      <c r="D354" s="21"/>
      <c r="E354" s="20"/>
      <c r="F354" s="21"/>
      <c r="G354" s="21"/>
      <c r="H354" s="21"/>
      <c r="I354" s="21"/>
    </row>
    <row r="355" spans="1:9" s="169" customFormat="1" ht="12.75">
      <c r="A355" s="21"/>
      <c r="B355" s="21"/>
      <c r="C355" s="21"/>
      <c r="D355" s="21"/>
      <c r="E355" s="20"/>
      <c r="F355" s="21"/>
      <c r="G355" s="21"/>
      <c r="H355" s="21"/>
      <c r="I355" s="21"/>
    </row>
    <row r="356" spans="1:9" s="169" customFormat="1" ht="12.75">
      <c r="A356" s="21"/>
      <c r="B356" s="21"/>
      <c r="C356" s="21"/>
      <c r="D356" s="21"/>
      <c r="E356" s="20"/>
      <c r="F356" s="21"/>
      <c r="G356" s="21"/>
      <c r="H356" s="21"/>
      <c r="I356" s="21"/>
    </row>
    <row r="357" spans="1:9" s="169" customFormat="1" ht="12.75">
      <c r="A357" s="21"/>
      <c r="B357" s="21"/>
      <c r="C357" s="21"/>
      <c r="D357" s="21"/>
      <c r="E357" s="20"/>
      <c r="F357" s="21"/>
      <c r="G357" s="21"/>
      <c r="H357" s="21"/>
      <c r="I357" s="21"/>
    </row>
    <row r="358" spans="1:9" s="169" customFormat="1" ht="12.75">
      <c r="A358" s="21"/>
      <c r="B358" s="21"/>
      <c r="C358" s="21"/>
      <c r="D358" s="21"/>
      <c r="E358" s="20"/>
      <c r="F358" s="21"/>
      <c r="G358" s="21"/>
      <c r="H358" s="21"/>
      <c r="I358" s="21"/>
    </row>
    <row r="359" spans="1:9" s="169" customFormat="1" ht="12.75">
      <c r="A359" s="21"/>
      <c r="B359" s="21"/>
      <c r="C359" s="21"/>
      <c r="D359" s="21"/>
      <c r="E359" s="20"/>
      <c r="F359" s="21"/>
      <c r="G359" s="21"/>
      <c r="H359" s="21"/>
      <c r="I359" s="21"/>
    </row>
    <row r="360" spans="1:9" s="169" customFormat="1" ht="12.75">
      <c r="A360" s="21"/>
      <c r="B360" s="21"/>
      <c r="C360" s="21"/>
      <c r="D360" s="21"/>
      <c r="E360" s="20"/>
      <c r="F360" s="21"/>
      <c r="G360" s="21"/>
      <c r="H360" s="21"/>
      <c r="I360" s="21"/>
    </row>
    <row r="361" spans="1:9" s="169" customFormat="1" ht="12.75">
      <c r="A361" s="21"/>
      <c r="B361" s="21"/>
      <c r="C361" s="21"/>
      <c r="D361" s="21"/>
      <c r="E361" s="20"/>
      <c r="F361" s="21"/>
      <c r="G361" s="21"/>
      <c r="H361" s="21"/>
      <c r="I361" s="21"/>
    </row>
    <row r="362" spans="1:9" s="169" customFormat="1" ht="12.75">
      <c r="A362" s="21"/>
      <c r="B362" s="21"/>
      <c r="C362" s="21"/>
      <c r="D362" s="21"/>
      <c r="E362" s="20"/>
      <c r="F362" s="21"/>
      <c r="G362" s="21"/>
      <c r="H362" s="21"/>
      <c r="I362" s="21"/>
    </row>
    <row r="363" spans="1:9" s="169" customFormat="1" ht="12.75">
      <c r="A363" s="21"/>
      <c r="B363" s="21"/>
      <c r="C363" s="21"/>
      <c r="D363" s="21"/>
      <c r="E363" s="20"/>
      <c r="F363" s="21"/>
      <c r="G363" s="21"/>
      <c r="H363" s="21"/>
      <c r="I363" s="21"/>
    </row>
    <row r="364" spans="1:9" s="169" customFormat="1" ht="12.75">
      <c r="A364" s="21"/>
      <c r="B364" s="21"/>
      <c r="C364" s="21"/>
      <c r="D364" s="21"/>
      <c r="E364" s="20"/>
      <c r="F364" s="21"/>
      <c r="G364" s="21"/>
      <c r="H364" s="21"/>
      <c r="I364" s="21"/>
    </row>
    <row r="365" spans="1:9" s="169" customFormat="1" ht="12.75">
      <c r="A365" s="21"/>
      <c r="B365" s="21"/>
      <c r="C365" s="21"/>
      <c r="D365" s="21"/>
      <c r="E365" s="20"/>
      <c r="F365" s="21"/>
      <c r="G365" s="21"/>
      <c r="H365" s="21"/>
      <c r="I365" s="21"/>
    </row>
    <row r="366" spans="1:9" s="169" customFormat="1" ht="12.75">
      <c r="A366" s="21"/>
      <c r="B366" s="21"/>
      <c r="C366" s="21"/>
      <c r="D366" s="21"/>
      <c r="E366" s="20"/>
      <c r="F366" s="21"/>
      <c r="G366" s="21"/>
      <c r="H366" s="21"/>
      <c r="I366" s="21"/>
    </row>
    <row r="367" spans="1:9" s="169" customFormat="1" ht="12.75">
      <c r="A367" s="21"/>
      <c r="B367" s="21"/>
      <c r="C367" s="21"/>
      <c r="D367" s="21"/>
      <c r="E367" s="20"/>
      <c r="F367" s="21"/>
      <c r="G367" s="21"/>
      <c r="H367" s="21"/>
      <c r="I367" s="21"/>
    </row>
    <row r="368" spans="1:9" s="169" customFormat="1" ht="12.75">
      <c r="A368" s="21"/>
      <c r="B368" s="21"/>
      <c r="C368" s="21"/>
      <c r="D368" s="21"/>
      <c r="E368" s="20"/>
      <c r="F368" s="21"/>
      <c r="G368" s="21"/>
      <c r="H368" s="21"/>
      <c r="I368" s="21"/>
    </row>
    <row r="369" spans="1:9" s="169" customFormat="1" ht="12.75">
      <c r="A369" s="21"/>
      <c r="B369" s="21"/>
      <c r="C369" s="21"/>
      <c r="D369" s="21"/>
      <c r="E369" s="20"/>
      <c r="F369" s="21"/>
      <c r="G369" s="21"/>
      <c r="H369" s="21"/>
      <c r="I369" s="21"/>
    </row>
    <row r="370" spans="1:9" s="169" customFormat="1" ht="12.75">
      <c r="A370" s="21"/>
      <c r="B370" s="21"/>
      <c r="C370" s="21"/>
      <c r="D370" s="21"/>
      <c r="E370" s="20"/>
      <c r="F370" s="21"/>
      <c r="G370" s="21"/>
      <c r="H370" s="21"/>
      <c r="I370" s="21"/>
    </row>
    <row r="371" spans="1:9" s="169" customFormat="1" ht="12.75">
      <c r="A371" s="21"/>
      <c r="B371" s="21"/>
      <c r="C371" s="21"/>
      <c r="D371" s="21"/>
      <c r="E371" s="20"/>
      <c r="F371" s="21"/>
      <c r="G371" s="21"/>
      <c r="H371" s="21"/>
      <c r="I371" s="21"/>
    </row>
    <row r="372" spans="1:9" s="169" customFormat="1" ht="12.75">
      <c r="A372" s="21"/>
      <c r="B372" s="21"/>
      <c r="C372" s="21"/>
      <c r="D372" s="21"/>
      <c r="E372" s="20"/>
      <c r="F372" s="21"/>
      <c r="G372" s="21"/>
      <c r="H372" s="21"/>
      <c r="I372" s="21"/>
    </row>
    <row r="373" spans="1:9" s="169" customFormat="1" ht="12.75">
      <c r="A373" s="21"/>
      <c r="B373" s="21"/>
      <c r="C373" s="21"/>
      <c r="D373" s="21"/>
      <c r="E373" s="20"/>
      <c r="F373" s="21"/>
      <c r="G373" s="21"/>
      <c r="H373" s="21"/>
      <c r="I373" s="21"/>
    </row>
    <row r="374" spans="1:9" s="169" customFormat="1" ht="12.75">
      <c r="A374" s="21"/>
      <c r="B374" s="21"/>
      <c r="C374" s="21"/>
      <c r="D374" s="21"/>
      <c r="E374" s="20"/>
      <c r="F374" s="21"/>
      <c r="G374" s="21"/>
      <c r="H374" s="21"/>
      <c r="I374" s="21"/>
    </row>
    <row r="375" spans="1:9" s="169" customFormat="1" ht="12.75">
      <c r="A375" s="21"/>
      <c r="B375" s="21"/>
      <c r="C375" s="21"/>
      <c r="D375" s="21"/>
      <c r="E375" s="20"/>
      <c r="F375" s="21"/>
      <c r="G375" s="21"/>
      <c r="H375" s="21"/>
      <c r="I375" s="21"/>
    </row>
    <row r="376" spans="1:9" s="169" customFormat="1" ht="12.75">
      <c r="A376" s="21"/>
      <c r="B376" s="21"/>
      <c r="C376" s="21"/>
      <c r="D376" s="21"/>
      <c r="E376" s="20"/>
      <c r="F376" s="21"/>
      <c r="G376" s="21"/>
      <c r="H376" s="21"/>
      <c r="I376" s="21"/>
    </row>
    <row r="377" spans="1:9" s="169" customFormat="1" ht="12.75">
      <c r="A377" s="21"/>
      <c r="B377" s="21"/>
      <c r="C377" s="21"/>
      <c r="D377" s="21"/>
      <c r="E377" s="20"/>
      <c r="F377" s="21"/>
      <c r="G377" s="21"/>
      <c r="H377" s="21"/>
      <c r="I377" s="21"/>
    </row>
    <row r="378" spans="1:9" s="169" customFormat="1" ht="12.75">
      <c r="A378" s="21"/>
      <c r="B378" s="21"/>
      <c r="C378" s="21"/>
      <c r="D378" s="21"/>
      <c r="E378" s="20"/>
      <c r="F378" s="21"/>
      <c r="G378" s="21"/>
      <c r="H378" s="21"/>
      <c r="I378" s="21"/>
    </row>
    <row r="379" spans="1:9" s="169" customFormat="1" ht="12.75">
      <c r="A379" s="21"/>
      <c r="B379" s="21"/>
      <c r="C379" s="21"/>
      <c r="D379" s="21"/>
      <c r="E379" s="20"/>
      <c r="F379" s="21"/>
      <c r="G379" s="21"/>
      <c r="H379" s="21"/>
      <c r="I379" s="21"/>
    </row>
    <row r="380" spans="1:9" s="169" customFormat="1" ht="12.75">
      <c r="A380" s="21"/>
      <c r="B380" s="21"/>
      <c r="C380" s="21"/>
      <c r="D380" s="21"/>
      <c r="E380" s="20"/>
      <c r="F380" s="21"/>
      <c r="G380" s="21"/>
      <c r="H380" s="21"/>
      <c r="I380" s="21"/>
    </row>
    <row r="381" spans="1:9" s="169" customFormat="1" ht="12.75">
      <c r="A381" s="21"/>
      <c r="B381" s="21"/>
      <c r="C381" s="21"/>
      <c r="D381" s="21"/>
      <c r="E381" s="20"/>
      <c r="F381" s="21"/>
      <c r="G381" s="21"/>
      <c r="H381" s="21"/>
      <c r="I381" s="21"/>
    </row>
    <row r="382" spans="1:9" s="169" customFormat="1" ht="12.75">
      <c r="A382" s="21"/>
      <c r="B382" s="21"/>
      <c r="C382" s="21"/>
      <c r="D382" s="21"/>
      <c r="E382" s="20"/>
      <c r="F382" s="21"/>
      <c r="G382" s="21"/>
      <c r="H382" s="21"/>
      <c r="I382" s="21"/>
    </row>
    <row r="383" spans="1:9" s="169" customFormat="1" ht="12.75">
      <c r="A383" s="21"/>
      <c r="B383" s="21"/>
      <c r="C383" s="21"/>
      <c r="D383" s="21"/>
      <c r="E383" s="20"/>
      <c r="F383" s="21"/>
      <c r="G383" s="21"/>
      <c r="H383" s="21"/>
      <c r="I383" s="21"/>
    </row>
    <row r="384" spans="1:9" s="169" customFormat="1" ht="12.75">
      <c r="A384" s="21"/>
      <c r="B384" s="21"/>
      <c r="C384" s="21"/>
      <c r="D384" s="21"/>
      <c r="E384" s="20"/>
      <c r="F384" s="21"/>
      <c r="G384" s="21"/>
      <c r="H384" s="21"/>
      <c r="I384" s="21"/>
    </row>
    <row r="385" spans="1:9" s="169" customFormat="1" ht="12.75">
      <c r="A385" s="21"/>
      <c r="B385" s="21"/>
      <c r="C385" s="21"/>
      <c r="D385" s="21"/>
      <c r="E385" s="20"/>
      <c r="F385" s="21"/>
      <c r="G385" s="21"/>
      <c r="H385" s="21"/>
      <c r="I385" s="21"/>
    </row>
    <row r="386" spans="1:9" s="169" customFormat="1" ht="12.75">
      <c r="A386" s="21"/>
      <c r="B386" s="21"/>
      <c r="C386" s="21"/>
      <c r="D386" s="21"/>
      <c r="E386" s="20"/>
      <c r="F386" s="21"/>
      <c r="G386" s="21"/>
      <c r="H386" s="21"/>
      <c r="I386" s="21"/>
    </row>
    <row r="387" spans="1:9" s="169" customFormat="1" ht="12.75">
      <c r="A387" s="21"/>
      <c r="B387" s="21"/>
      <c r="C387" s="21"/>
      <c r="D387" s="21"/>
      <c r="E387" s="20"/>
      <c r="F387" s="21"/>
      <c r="G387" s="21"/>
      <c r="H387" s="21"/>
      <c r="I387" s="21"/>
    </row>
    <row r="388" spans="1:9" s="169" customFormat="1" ht="12.75">
      <c r="A388" s="21"/>
      <c r="B388" s="21"/>
      <c r="C388" s="21"/>
      <c r="D388" s="21"/>
      <c r="E388" s="20"/>
      <c r="F388" s="21"/>
      <c r="G388" s="21"/>
      <c r="H388" s="21"/>
      <c r="I388" s="21"/>
    </row>
    <row r="389" spans="1:9" s="169" customFormat="1" ht="12.75">
      <c r="A389" s="21"/>
      <c r="B389" s="21"/>
      <c r="C389" s="21"/>
      <c r="D389" s="21"/>
      <c r="E389" s="20"/>
      <c r="F389" s="21"/>
      <c r="G389" s="21"/>
      <c r="H389" s="21"/>
      <c r="I389" s="21"/>
    </row>
    <row r="390" spans="1:9" s="169" customFormat="1" ht="12.75">
      <c r="A390" s="21"/>
      <c r="B390" s="21"/>
      <c r="C390" s="21"/>
      <c r="D390" s="21"/>
      <c r="E390" s="20"/>
      <c r="F390" s="21"/>
      <c r="G390" s="21"/>
      <c r="H390" s="21"/>
      <c r="I390" s="21"/>
    </row>
    <row r="391" spans="1:9" s="169" customFormat="1" ht="12.75">
      <c r="A391" s="21"/>
      <c r="B391" s="21"/>
      <c r="C391" s="21"/>
      <c r="D391" s="21"/>
      <c r="E391" s="20"/>
      <c r="F391" s="21"/>
      <c r="G391" s="21"/>
      <c r="H391" s="21"/>
      <c r="I391" s="21"/>
    </row>
    <row r="392" spans="1:9" s="169" customFormat="1" ht="12.75">
      <c r="A392" s="21"/>
      <c r="B392" s="21"/>
      <c r="C392" s="21"/>
      <c r="D392" s="21"/>
      <c r="E392" s="20"/>
      <c r="F392" s="21"/>
      <c r="G392" s="21"/>
      <c r="H392" s="21"/>
      <c r="I392" s="21"/>
    </row>
    <row r="393" spans="1:9" s="169" customFormat="1" ht="12.75">
      <c r="A393" s="21"/>
      <c r="B393" s="21"/>
      <c r="C393" s="21"/>
      <c r="D393" s="21"/>
      <c r="E393" s="20"/>
      <c r="F393" s="21"/>
      <c r="G393" s="21"/>
      <c r="H393" s="21"/>
      <c r="I393" s="21"/>
    </row>
    <row r="394" spans="1:9" s="169" customFormat="1" ht="12.75">
      <c r="A394" s="21"/>
      <c r="B394" s="21"/>
      <c r="C394" s="21"/>
      <c r="D394" s="21"/>
      <c r="E394" s="20"/>
      <c r="F394" s="21"/>
      <c r="G394" s="21"/>
      <c r="H394" s="21"/>
      <c r="I394" s="21"/>
    </row>
    <row r="395" spans="1:9" s="169" customFormat="1" ht="12.75">
      <c r="A395" s="21"/>
      <c r="B395" s="21"/>
      <c r="C395" s="21"/>
      <c r="D395" s="21"/>
      <c r="E395" s="20"/>
      <c r="F395" s="21"/>
      <c r="G395" s="21"/>
      <c r="H395" s="21"/>
      <c r="I395" s="21"/>
    </row>
    <row r="396" spans="1:9" s="169" customFormat="1" ht="12.75">
      <c r="A396" s="21"/>
      <c r="B396" s="21"/>
      <c r="C396" s="21"/>
      <c r="D396" s="21"/>
      <c r="E396" s="20"/>
      <c r="F396" s="21"/>
      <c r="G396" s="21"/>
      <c r="H396" s="21"/>
      <c r="I396" s="21"/>
    </row>
    <row r="397" spans="1:9" s="169" customFormat="1" ht="12.75">
      <c r="A397" s="21"/>
      <c r="B397" s="21"/>
      <c r="C397" s="21"/>
      <c r="D397" s="21"/>
      <c r="E397" s="20"/>
      <c r="F397" s="21"/>
      <c r="G397" s="21"/>
      <c r="H397" s="21"/>
      <c r="I397" s="21"/>
    </row>
    <row r="398" spans="1:9" s="169" customFormat="1" ht="12.75">
      <c r="A398" s="21"/>
      <c r="B398" s="21"/>
      <c r="C398" s="21"/>
      <c r="D398" s="21"/>
      <c r="E398" s="20"/>
      <c r="F398" s="21"/>
      <c r="G398" s="21"/>
      <c r="H398" s="21"/>
      <c r="I398" s="21"/>
    </row>
    <row r="399" spans="1:9" s="169" customFormat="1" ht="12.75">
      <c r="A399" s="21"/>
      <c r="B399" s="21"/>
      <c r="C399" s="21"/>
      <c r="D399" s="21"/>
      <c r="E399" s="20"/>
      <c r="F399" s="21"/>
      <c r="G399" s="21"/>
      <c r="H399" s="21"/>
      <c r="I399" s="21"/>
    </row>
    <row r="400" spans="1:9" s="169" customFormat="1" ht="12.75">
      <c r="A400" s="21"/>
      <c r="B400" s="21"/>
      <c r="C400" s="21"/>
      <c r="D400" s="21"/>
      <c r="E400" s="20"/>
      <c r="F400" s="21"/>
      <c r="G400" s="21"/>
      <c r="H400" s="21"/>
      <c r="I400" s="21"/>
    </row>
    <row r="401" spans="1:9" s="169" customFormat="1" ht="12.75">
      <c r="A401" s="21"/>
      <c r="B401" s="21"/>
      <c r="C401" s="21"/>
      <c r="D401" s="21"/>
      <c r="E401" s="20"/>
      <c r="F401" s="21"/>
      <c r="G401" s="21"/>
      <c r="H401" s="21"/>
      <c r="I401" s="21"/>
    </row>
    <row r="402" spans="1:9" s="169" customFormat="1" ht="12.75">
      <c r="A402" s="21"/>
      <c r="B402" s="21"/>
      <c r="C402" s="21"/>
      <c r="D402" s="21"/>
      <c r="E402" s="20"/>
      <c r="F402" s="21"/>
      <c r="G402" s="21"/>
      <c r="H402" s="21"/>
      <c r="I402" s="21"/>
    </row>
    <row r="403" spans="1:9" s="169" customFormat="1" ht="12.75">
      <c r="A403" s="21"/>
      <c r="B403" s="21"/>
      <c r="C403" s="21"/>
      <c r="D403" s="21"/>
      <c r="E403" s="20"/>
      <c r="F403" s="21"/>
      <c r="G403" s="21"/>
      <c r="H403" s="21"/>
      <c r="I403" s="21"/>
    </row>
    <row r="404" spans="1:9" s="169" customFormat="1" ht="12.75">
      <c r="A404" s="21"/>
      <c r="B404" s="21"/>
      <c r="C404" s="21"/>
      <c r="D404" s="21"/>
      <c r="E404" s="20"/>
      <c r="F404" s="21"/>
      <c r="G404" s="21"/>
      <c r="H404" s="21"/>
      <c r="I404" s="21"/>
    </row>
    <row r="405" spans="1:9" s="169" customFormat="1" ht="12.75">
      <c r="A405" s="21"/>
      <c r="B405" s="21"/>
      <c r="C405" s="21"/>
      <c r="D405" s="21"/>
      <c r="E405" s="20"/>
      <c r="F405" s="21"/>
      <c r="G405" s="21"/>
      <c r="H405" s="21"/>
      <c r="I405" s="21"/>
    </row>
    <row r="406" spans="1:9" s="169" customFormat="1" ht="12.75">
      <c r="A406" s="21"/>
      <c r="B406" s="21"/>
      <c r="C406" s="21"/>
      <c r="D406" s="21"/>
      <c r="E406" s="20"/>
      <c r="F406" s="21"/>
      <c r="G406" s="21"/>
      <c r="H406" s="21"/>
      <c r="I406" s="21"/>
    </row>
    <row r="407" spans="1:9" s="169" customFormat="1" ht="12.75">
      <c r="A407" s="21"/>
      <c r="B407" s="21"/>
      <c r="C407" s="21"/>
      <c r="D407" s="21"/>
      <c r="E407" s="20"/>
      <c r="F407" s="21"/>
      <c r="G407" s="21"/>
      <c r="H407" s="21"/>
      <c r="I407" s="21"/>
    </row>
    <row r="408" spans="1:9" s="169" customFormat="1" ht="12.75">
      <c r="A408" s="21"/>
      <c r="B408" s="21"/>
      <c r="C408" s="21"/>
      <c r="D408" s="21"/>
      <c r="E408" s="20"/>
      <c r="F408" s="21"/>
      <c r="G408" s="21"/>
      <c r="H408" s="21"/>
      <c r="I408" s="21"/>
    </row>
    <row r="409" spans="1:9" s="169" customFormat="1" ht="12.75">
      <c r="A409" s="21"/>
      <c r="B409" s="21"/>
      <c r="C409" s="21"/>
      <c r="D409" s="21"/>
      <c r="E409" s="20"/>
      <c r="F409" s="21"/>
      <c r="G409" s="21"/>
      <c r="H409" s="21"/>
      <c r="I409" s="21"/>
    </row>
    <row r="410" spans="1:9" s="169" customFormat="1" ht="12.75">
      <c r="A410" s="21"/>
      <c r="B410" s="21"/>
      <c r="C410" s="21"/>
      <c r="D410" s="21"/>
      <c r="E410" s="20"/>
      <c r="F410" s="21"/>
      <c r="G410" s="21"/>
      <c r="H410" s="21"/>
      <c r="I410" s="21"/>
    </row>
    <row r="411" spans="1:9" s="169" customFormat="1" ht="12.75">
      <c r="A411" s="21"/>
      <c r="B411" s="21"/>
      <c r="C411" s="21"/>
      <c r="D411" s="21"/>
      <c r="E411" s="20"/>
      <c r="F411" s="21"/>
      <c r="G411" s="21"/>
      <c r="H411" s="21"/>
      <c r="I411" s="21"/>
    </row>
    <row r="412" spans="1:9" s="169" customFormat="1" ht="12.75">
      <c r="A412" s="21"/>
      <c r="B412" s="21"/>
      <c r="C412" s="21"/>
      <c r="D412" s="21"/>
      <c r="E412" s="20"/>
      <c r="F412" s="21"/>
      <c r="G412" s="21"/>
      <c r="H412" s="21"/>
      <c r="I412" s="21"/>
    </row>
    <row r="413" spans="1:9" s="169" customFormat="1" ht="12.75">
      <c r="A413" s="21"/>
      <c r="B413" s="21"/>
      <c r="C413" s="21"/>
      <c r="D413" s="21"/>
      <c r="E413" s="20"/>
      <c r="F413" s="21"/>
      <c r="G413" s="21"/>
      <c r="H413" s="21"/>
      <c r="I413" s="21"/>
    </row>
    <row r="414" spans="1:9" s="169" customFormat="1" ht="12.75">
      <c r="A414" s="21"/>
      <c r="B414" s="21"/>
      <c r="C414" s="21"/>
      <c r="D414" s="21"/>
      <c r="E414" s="20"/>
      <c r="F414" s="21"/>
      <c r="G414" s="21"/>
      <c r="H414" s="21"/>
      <c r="I414" s="21"/>
    </row>
    <row r="415" spans="1:9" s="169" customFormat="1" ht="12.75">
      <c r="A415" s="21"/>
      <c r="B415" s="21"/>
      <c r="C415" s="21"/>
      <c r="D415" s="21"/>
      <c r="E415" s="20"/>
      <c r="F415" s="21"/>
      <c r="G415" s="21"/>
      <c r="H415" s="21"/>
      <c r="I415" s="21"/>
    </row>
    <row r="416" spans="1:9" s="169" customFormat="1" ht="12.75">
      <c r="A416" s="21"/>
      <c r="B416" s="21"/>
      <c r="C416" s="21"/>
      <c r="D416" s="21"/>
      <c r="E416" s="20"/>
      <c r="F416" s="21"/>
      <c r="G416" s="21"/>
      <c r="H416" s="21"/>
      <c r="I416" s="21"/>
    </row>
    <row r="417" spans="1:9" s="169" customFormat="1" ht="12.75">
      <c r="A417" s="21"/>
      <c r="B417" s="21"/>
      <c r="C417" s="21"/>
      <c r="D417" s="21"/>
      <c r="E417" s="20"/>
      <c r="F417" s="21"/>
      <c r="G417" s="21"/>
      <c r="H417" s="21"/>
      <c r="I417" s="21"/>
    </row>
    <row r="418" spans="1:9" s="169" customFormat="1" ht="12.75">
      <c r="A418" s="21"/>
      <c r="B418" s="21"/>
      <c r="C418" s="21"/>
      <c r="D418" s="21"/>
      <c r="E418" s="20"/>
      <c r="F418" s="21"/>
      <c r="G418" s="21"/>
      <c r="H418" s="21"/>
      <c r="I418" s="21"/>
    </row>
    <row r="419" spans="1:9" s="169" customFormat="1" ht="12.75">
      <c r="A419" s="21"/>
      <c r="B419" s="21"/>
      <c r="C419" s="21"/>
      <c r="D419" s="21"/>
      <c r="E419" s="20"/>
      <c r="F419" s="21"/>
      <c r="G419" s="21"/>
      <c r="H419" s="21"/>
      <c r="I419" s="21"/>
    </row>
    <row r="420" spans="1:9" s="169" customFormat="1" ht="12.75">
      <c r="A420" s="21"/>
      <c r="B420" s="21"/>
      <c r="C420" s="21"/>
      <c r="D420" s="21"/>
      <c r="E420" s="20"/>
      <c r="F420" s="21"/>
      <c r="G420" s="21"/>
      <c r="H420" s="21"/>
      <c r="I420" s="21"/>
    </row>
    <row r="421" spans="1:9" s="169" customFormat="1" ht="12.75">
      <c r="A421" s="21"/>
      <c r="B421" s="21"/>
      <c r="C421" s="21"/>
      <c r="D421" s="21"/>
      <c r="E421" s="20"/>
      <c r="F421" s="21"/>
      <c r="G421" s="21"/>
      <c r="H421" s="21"/>
      <c r="I421" s="21"/>
    </row>
    <row r="422" spans="1:9" s="169" customFormat="1" ht="12.75">
      <c r="A422" s="21"/>
      <c r="B422" s="21"/>
      <c r="C422" s="21"/>
      <c r="D422" s="21"/>
      <c r="E422" s="20"/>
      <c r="F422" s="21"/>
      <c r="G422" s="21"/>
      <c r="H422" s="21"/>
      <c r="I422" s="21"/>
    </row>
    <row r="423" spans="1:9" s="169" customFormat="1" ht="12.75">
      <c r="A423" s="21"/>
      <c r="B423" s="21"/>
      <c r="C423" s="21"/>
      <c r="D423" s="21"/>
      <c r="E423" s="20"/>
      <c r="F423" s="21"/>
      <c r="G423" s="21"/>
      <c r="H423" s="21"/>
      <c r="I423" s="21"/>
    </row>
    <row r="424" spans="1:9" s="169" customFormat="1" ht="12.75">
      <c r="A424" s="21"/>
      <c r="B424" s="21"/>
      <c r="C424" s="21"/>
      <c r="D424" s="21"/>
      <c r="E424" s="20"/>
      <c r="F424" s="21"/>
      <c r="G424" s="21"/>
      <c r="H424" s="21"/>
      <c r="I424" s="21"/>
    </row>
    <row r="425" spans="1:9" s="169" customFormat="1" ht="12.75">
      <c r="A425" s="21"/>
      <c r="B425" s="21"/>
      <c r="C425" s="21"/>
      <c r="D425" s="21"/>
      <c r="E425" s="20"/>
      <c r="F425" s="21"/>
      <c r="G425" s="21"/>
      <c r="H425" s="21"/>
      <c r="I425" s="21"/>
    </row>
    <row r="426" spans="1:9" s="169" customFormat="1" ht="12.75">
      <c r="A426" s="21"/>
      <c r="B426" s="21"/>
      <c r="C426" s="21"/>
      <c r="D426" s="21"/>
      <c r="E426" s="20"/>
      <c r="F426" s="21"/>
      <c r="G426" s="21"/>
      <c r="H426" s="21"/>
      <c r="I426" s="21"/>
    </row>
    <row r="427" spans="1:9" s="169" customFormat="1" ht="12.75">
      <c r="A427" s="21"/>
      <c r="B427" s="21"/>
      <c r="C427" s="21"/>
      <c r="D427" s="21"/>
      <c r="E427" s="20"/>
      <c r="F427" s="21"/>
      <c r="G427" s="21"/>
      <c r="H427" s="21"/>
      <c r="I427" s="21"/>
    </row>
    <row r="428" spans="1:9" s="169" customFormat="1" ht="12.75">
      <c r="A428" s="21"/>
      <c r="B428" s="21"/>
      <c r="C428" s="21"/>
      <c r="D428" s="21"/>
      <c r="E428" s="20"/>
      <c r="F428" s="21"/>
      <c r="G428" s="21"/>
      <c r="H428" s="21"/>
      <c r="I428" s="21"/>
    </row>
    <row r="429" spans="1:9" s="169" customFormat="1" ht="12.75">
      <c r="A429" s="21"/>
      <c r="B429" s="21"/>
      <c r="C429" s="21"/>
      <c r="D429" s="21"/>
      <c r="E429" s="20"/>
      <c r="F429" s="21"/>
      <c r="G429" s="21"/>
      <c r="H429" s="21"/>
      <c r="I429" s="21"/>
    </row>
    <row r="430" spans="1:9" s="169" customFormat="1" ht="12.75">
      <c r="A430" s="21"/>
      <c r="B430" s="21"/>
      <c r="C430" s="21"/>
      <c r="D430" s="21"/>
      <c r="E430" s="20"/>
      <c r="F430" s="21"/>
      <c r="G430" s="21"/>
      <c r="H430" s="21"/>
      <c r="I430" s="21"/>
    </row>
    <row r="431" spans="1:9" s="169" customFormat="1" ht="12.75">
      <c r="A431" s="21"/>
      <c r="B431" s="21"/>
      <c r="C431" s="21"/>
      <c r="D431" s="21"/>
      <c r="E431" s="20"/>
      <c r="F431" s="21"/>
      <c r="G431" s="21"/>
      <c r="H431" s="21"/>
      <c r="I431" s="21"/>
    </row>
    <row r="432" spans="1:9" s="169" customFormat="1" ht="12.75">
      <c r="A432" s="21"/>
      <c r="B432" s="21"/>
      <c r="C432" s="21"/>
      <c r="D432" s="21"/>
      <c r="E432" s="20"/>
      <c r="F432" s="21"/>
      <c r="G432" s="21"/>
      <c r="H432" s="21"/>
      <c r="I432" s="21"/>
    </row>
    <row r="433" spans="1:9" s="169" customFormat="1" ht="12.75">
      <c r="A433" s="21"/>
      <c r="B433" s="21"/>
      <c r="C433" s="21"/>
      <c r="D433" s="21"/>
      <c r="E433" s="20"/>
      <c r="F433" s="21"/>
      <c r="G433" s="21"/>
      <c r="H433" s="21"/>
      <c r="I433" s="21"/>
    </row>
    <row r="434" spans="1:9" s="169" customFormat="1" ht="12.75">
      <c r="A434" s="21"/>
      <c r="B434" s="21"/>
      <c r="C434" s="21"/>
      <c r="D434" s="21"/>
      <c r="E434" s="20"/>
      <c r="F434" s="21"/>
      <c r="G434" s="21"/>
      <c r="H434" s="21"/>
      <c r="I434" s="21"/>
    </row>
    <row r="435" spans="1:9" s="169" customFormat="1" ht="12.75">
      <c r="A435" s="21"/>
      <c r="B435" s="21"/>
      <c r="C435" s="21"/>
      <c r="D435" s="21"/>
      <c r="E435" s="20"/>
      <c r="F435" s="21"/>
      <c r="G435" s="21"/>
      <c r="H435" s="21"/>
      <c r="I435" s="21"/>
    </row>
    <row r="436" spans="1:9" s="169" customFormat="1" ht="12.75">
      <c r="A436" s="21"/>
      <c r="B436" s="21"/>
      <c r="C436" s="21"/>
      <c r="D436" s="21"/>
      <c r="E436" s="20"/>
      <c r="F436" s="21"/>
      <c r="G436" s="21"/>
      <c r="H436" s="21"/>
      <c r="I436" s="21"/>
    </row>
    <row r="437" spans="1:9" s="169" customFormat="1" ht="12.75">
      <c r="A437" s="21"/>
      <c r="B437" s="21"/>
      <c r="C437" s="21"/>
      <c r="D437" s="21"/>
      <c r="E437" s="20"/>
      <c r="F437" s="21"/>
      <c r="G437" s="21"/>
      <c r="H437" s="21"/>
      <c r="I437" s="21"/>
    </row>
    <row r="438" spans="1:9" s="169" customFormat="1" ht="12.75">
      <c r="A438" s="21"/>
      <c r="B438" s="21"/>
      <c r="C438" s="21"/>
      <c r="D438" s="21"/>
      <c r="E438" s="20"/>
      <c r="F438" s="21"/>
      <c r="G438" s="21"/>
      <c r="H438" s="21"/>
      <c r="I438" s="21"/>
    </row>
    <row r="439" spans="1:9" s="169" customFormat="1" ht="12.75">
      <c r="A439" s="21"/>
      <c r="B439" s="21"/>
      <c r="C439" s="21"/>
      <c r="D439" s="21"/>
      <c r="E439" s="20"/>
      <c r="F439" s="21"/>
      <c r="G439" s="21"/>
      <c r="H439" s="21"/>
      <c r="I439" s="21"/>
    </row>
    <row r="440" spans="1:9" s="169" customFormat="1" ht="12.75">
      <c r="A440" s="21"/>
      <c r="B440" s="21"/>
      <c r="C440" s="21"/>
      <c r="D440" s="21"/>
      <c r="E440" s="20"/>
      <c r="F440" s="21"/>
      <c r="G440" s="21"/>
      <c r="H440" s="21"/>
      <c r="I440" s="21"/>
    </row>
    <row r="441" spans="1:9" s="169" customFormat="1" ht="12.75">
      <c r="A441" s="21"/>
      <c r="B441" s="21"/>
      <c r="C441" s="21"/>
      <c r="D441" s="21"/>
      <c r="E441" s="20"/>
      <c r="F441" s="21"/>
      <c r="G441" s="21"/>
      <c r="H441" s="21"/>
      <c r="I441" s="21"/>
    </row>
    <row r="442" spans="1:9" s="169" customFormat="1" ht="12.75">
      <c r="A442" s="21"/>
      <c r="B442" s="21"/>
      <c r="C442" s="21"/>
      <c r="D442" s="21"/>
      <c r="E442" s="20"/>
      <c r="F442" s="21"/>
      <c r="G442" s="21"/>
      <c r="H442" s="21"/>
      <c r="I442" s="21"/>
    </row>
    <row r="443" spans="1:9" s="169" customFormat="1" ht="12.75">
      <c r="A443" s="21"/>
      <c r="B443" s="21"/>
      <c r="C443" s="21"/>
      <c r="D443" s="21"/>
      <c r="E443" s="20"/>
      <c r="F443" s="21"/>
      <c r="G443" s="21"/>
      <c r="H443" s="21"/>
      <c r="I443" s="21"/>
    </row>
    <row r="444" spans="1:9" s="169" customFormat="1" ht="12.75">
      <c r="A444" s="21"/>
      <c r="B444" s="21"/>
      <c r="C444" s="21"/>
      <c r="D444" s="21"/>
      <c r="E444" s="20"/>
      <c r="F444" s="21"/>
      <c r="G444" s="21"/>
      <c r="H444" s="21"/>
      <c r="I444" s="21"/>
    </row>
    <row r="445" spans="1:9" s="169" customFormat="1" ht="12.75">
      <c r="A445" s="21"/>
      <c r="B445" s="21"/>
      <c r="C445" s="21"/>
      <c r="D445" s="21"/>
      <c r="E445" s="20"/>
      <c r="F445" s="21"/>
      <c r="G445" s="21"/>
      <c r="H445" s="21"/>
      <c r="I445" s="21"/>
    </row>
    <row r="446" spans="1:9" s="169" customFormat="1" ht="12.75">
      <c r="A446" s="21"/>
      <c r="B446" s="21"/>
      <c r="C446" s="21"/>
      <c r="D446" s="21"/>
      <c r="E446" s="20"/>
      <c r="F446" s="21"/>
      <c r="G446" s="21"/>
      <c r="H446" s="21"/>
      <c r="I446" s="21"/>
    </row>
    <row r="447" spans="1:9" s="169" customFormat="1" ht="12.75">
      <c r="A447" s="21"/>
      <c r="B447" s="21"/>
      <c r="C447" s="21"/>
      <c r="D447" s="21"/>
      <c r="E447" s="20"/>
      <c r="F447" s="21"/>
      <c r="G447" s="21"/>
      <c r="H447" s="21"/>
      <c r="I447" s="21"/>
    </row>
    <row r="448" spans="1:9" s="169" customFormat="1" ht="12.75">
      <c r="A448" s="21"/>
      <c r="B448" s="21"/>
      <c r="C448" s="21"/>
      <c r="D448" s="21"/>
      <c r="E448" s="20"/>
      <c r="F448" s="21"/>
      <c r="G448" s="21"/>
      <c r="H448" s="21"/>
      <c r="I448" s="21"/>
    </row>
    <row r="449" spans="1:9" s="169" customFormat="1" ht="12.75">
      <c r="A449" s="21"/>
      <c r="B449" s="21"/>
      <c r="C449" s="21"/>
      <c r="D449" s="21"/>
      <c r="E449" s="20"/>
      <c r="F449" s="21"/>
      <c r="G449" s="21"/>
      <c r="H449" s="21"/>
      <c r="I449" s="21"/>
    </row>
    <row r="450" spans="1:9" s="169" customFormat="1" ht="12.75">
      <c r="A450" s="21"/>
      <c r="B450" s="21"/>
      <c r="C450" s="21"/>
      <c r="D450" s="21"/>
      <c r="E450" s="20"/>
      <c r="F450" s="21"/>
      <c r="G450" s="21"/>
      <c r="H450" s="21"/>
      <c r="I450" s="21"/>
    </row>
    <row r="451" spans="1:9" s="169" customFormat="1" ht="12.75">
      <c r="A451" s="21"/>
      <c r="B451" s="21"/>
      <c r="C451" s="21"/>
      <c r="D451" s="21"/>
      <c r="E451" s="20"/>
      <c r="F451" s="21"/>
      <c r="G451" s="21"/>
      <c r="H451" s="21"/>
      <c r="I451" s="21"/>
    </row>
    <row r="452" spans="1:9" s="169" customFormat="1" ht="12.75">
      <c r="A452" s="21"/>
      <c r="B452" s="21"/>
      <c r="C452" s="21"/>
      <c r="D452" s="21"/>
      <c r="E452" s="20"/>
      <c r="F452" s="21"/>
      <c r="G452" s="21"/>
      <c r="H452" s="21"/>
      <c r="I452" s="21"/>
    </row>
    <row r="453" spans="1:9" s="169" customFormat="1" ht="12.75">
      <c r="A453" s="21"/>
      <c r="B453" s="21"/>
      <c r="C453" s="21"/>
      <c r="D453" s="21"/>
      <c r="E453" s="20"/>
      <c r="F453" s="21"/>
      <c r="G453" s="21"/>
      <c r="H453" s="21"/>
      <c r="I453" s="21"/>
    </row>
    <row r="454" spans="1:9" s="169" customFormat="1" ht="12.75">
      <c r="A454" s="21"/>
      <c r="B454" s="21"/>
      <c r="C454" s="21"/>
      <c r="D454" s="21"/>
      <c r="E454" s="20"/>
      <c r="F454" s="21"/>
      <c r="G454" s="21"/>
      <c r="H454" s="21"/>
      <c r="I454" s="21"/>
    </row>
    <row r="455" spans="1:9" s="169" customFormat="1" ht="12.75">
      <c r="A455" s="21"/>
      <c r="B455" s="21"/>
      <c r="C455" s="21"/>
      <c r="D455" s="21"/>
      <c r="E455" s="20"/>
      <c r="F455" s="21"/>
      <c r="G455" s="21"/>
      <c r="H455" s="21"/>
      <c r="I455" s="21"/>
    </row>
    <row r="456" spans="1:9" s="169" customFormat="1" ht="12.75">
      <c r="A456" s="21"/>
      <c r="B456" s="21"/>
      <c r="C456" s="21"/>
      <c r="D456" s="21"/>
      <c r="E456" s="20"/>
      <c r="F456" s="21"/>
      <c r="G456" s="21"/>
      <c r="H456" s="21"/>
      <c r="I456" s="21"/>
    </row>
    <row r="457" spans="1:9" s="169" customFormat="1" ht="12.75">
      <c r="A457" s="21"/>
      <c r="B457" s="21"/>
      <c r="C457" s="21"/>
      <c r="D457" s="21"/>
      <c r="E457" s="20"/>
      <c r="F457" s="21"/>
      <c r="G457" s="21"/>
      <c r="H457" s="21"/>
      <c r="I457" s="21"/>
    </row>
    <row r="458" spans="1:9" s="169" customFormat="1" ht="12.75">
      <c r="A458" s="21"/>
      <c r="B458" s="21"/>
      <c r="C458" s="21"/>
      <c r="D458" s="21"/>
      <c r="E458" s="20"/>
      <c r="F458" s="21"/>
      <c r="G458" s="21"/>
      <c r="H458" s="21"/>
      <c r="I458" s="21"/>
    </row>
    <row r="459" spans="1:9" s="169" customFormat="1" ht="12.75">
      <c r="A459" s="21"/>
      <c r="B459" s="21"/>
      <c r="C459" s="21"/>
      <c r="D459" s="21"/>
      <c r="E459" s="20"/>
      <c r="F459" s="21"/>
      <c r="G459" s="21"/>
      <c r="H459" s="21"/>
      <c r="I459" s="21"/>
    </row>
    <row r="460" spans="1:9" s="169" customFormat="1" ht="12.75">
      <c r="A460" s="21"/>
      <c r="B460" s="21"/>
      <c r="C460" s="21"/>
      <c r="D460" s="21"/>
      <c r="E460" s="20"/>
      <c r="F460" s="21"/>
      <c r="G460" s="21"/>
      <c r="H460" s="21"/>
      <c r="I460" s="21"/>
    </row>
    <row r="461" spans="1:9" s="169" customFormat="1" ht="12.75">
      <c r="A461" s="21"/>
      <c r="B461" s="21"/>
      <c r="C461" s="21"/>
      <c r="D461" s="21"/>
      <c r="E461" s="20"/>
      <c r="F461" s="21"/>
      <c r="G461" s="21"/>
      <c r="H461" s="21"/>
      <c r="I461" s="21"/>
    </row>
    <row r="462" spans="1:9" s="169" customFormat="1" ht="12.75">
      <c r="A462" s="21"/>
      <c r="B462" s="21"/>
      <c r="C462" s="21"/>
      <c r="D462" s="21"/>
      <c r="E462" s="20"/>
      <c r="F462" s="21"/>
      <c r="G462" s="21"/>
      <c r="H462" s="21"/>
      <c r="I462" s="21"/>
    </row>
    <row r="463" spans="1:9" s="169" customFormat="1" ht="12.75">
      <c r="A463" s="21"/>
      <c r="B463" s="21"/>
      <c r="C463" s="21"/>
      <c r="D463" s="21"/>
      <c r="E463" s="20"/>
      <c r="F463" s="21"/>
      <c r="G463" s="21"/>
      <c r="H463" s="21"/>
      <c r="I463" s="21"/>
    </row>
    <row r="464" spans="1:9" s="169" customFormat="1" ht="12.75">
      <c r="A464" s="21"/>
      <c r="B464" s="21"/>
      <c r="C464" s="21"/>
      <c r="D464" s="21"/>
      <c r="E464" s="20"/>
      <c r="F464" s="21"/>
      <c r="G464" s="21"/>
      <c r="H464" s="21"/>
      <c r="I464" s="21"/>
    </row>
    <row r="465" spans="1:9" s="169" customFormat="1" ht="12.75">
      <c r="A465" s="21"/>
      <c r="B465" s="21"/>
      <c r="C465" s="21"/>
      <c r="D465" s="21"/>
      <c r="E465" s="20"/>
      <c r="F465" s="21"/>
      <c r="G465" s="21"/>
      <c r="H465" s="21"/>
      <c r="I465" s="21"/>
    </row>
    <row r="466" spans="1:9" s="169" customFormat="1" ht="12.75">
      <c r="A466" s="21"/>
      <c r="B466" s="21"/>
      <c r="C466" s="21"/>
      <c r="D466" s="21"/>
      <c r="E466" s="20"/>
      <c r="F466" s="21"/>
      <c r="G466" s="21"/>
      <c r="H466" s="21"/>
      <c r="I466" s="21"/>
    </row>
    <row r="467" spans="1:9" s="169" customFormat="1" ht="12.75">
      <c r="A467" s="21"/>
      <c r="B467" s="21"/>
      <c r="C467" s="21"/>
      <c r="D467" s="21"/>
      <c r="E467" s="20"/>
      <c r="F467" s="21"/>
      <c r="G467" s="21"/>
      <c r="H467" s="21"/>
      <c r="I467" s="21"/>
    </row>
    <row r="468" spans="1:9" s="169" customFormat="1" ht="12.75">
      <c r="A468" s="21"/>
      <c r="B468" s="21"/>
      <c r="C468" s="21"/>
      <c r="D468" s="21"/>
      <c r="E468" s="20"/>
      <c r="F468" s="21"/>
      <c r="G468" s="21"/>
      <c r="H468" s="21"/>
      <c r="I468" s="21"/>
    </row>
    <row r="469" spans="1:9" s="169" customFormat="1" ht="12.75">
      <c r="A469" s="21"/>
      <c r="B469" s="21"/>
      <c r="C469" s="21"/>
      <c r="D469" s="21"/>
      <c r="E469" s="20"/>
      <c r="F469" s="21"/>
      <c r="G469" s="21"/>
      <c r="H469" s="21"/>
      <c r="I469" s="21"/>
    </row>
    <row r="470" spans="1:9" s="169" customFormat="1" ht="12.75">
      <c r="A470" s="21"/>
      <c r="B470" s="21"/>
      <c r="C470" s="21"/>
      <c r="D470" s="21"/>
      <c r="E470" s="20"/>
      <c r="F470" s="21"/>
      <c r="G470" s="21"/>
      <c r="H470" s="21"/>
      <c r="I470" s="21"/>
    </row>
    <row r="471" spans="1:9" s="169" customFormat="1" ht="12.75">
      <c r="A471" s="21"/>
      <c r="B471" s="21"/>
      <c r="C471" s="21"/>
      <c r="D471" s="21"/>
      <c r="E471" s="20"/>
      <c r="F471" s="21"/>
      <c r="G471" s="21"/>
      <c r="H471" s="21"/>
      <c r="I471" s="21"/>
    </row>
    <row r="472" spans="1:9" s="169" customFormat="1" ht="12.75">
      <c r="A472" s="21"/>
      <c r="B472" s="21"/>
      <c r="C472" s="21"/>
      <c r="D472" s="21"/>
      <c r="E472" s="20"/>
      <c r="F472" s="21"/>
      <c r="G472" s="21"/>
      <c r="H472" s="21"/>
      <c r="I472" s="21"/>
    </row>
    <row r="473" spans="1:9" s="169" customFormat="1" ht="12.75">
      <c r="A473" s="21"/>
      <c r="B473" s="21"/>
      <c r="C473" s="21"/>
      <c r="D473" s="21"/>
      <c r="E473" s="20"/>
      <c r="F473" s="21"/>
      <c r="G473" s="21"/>
      <c r="H473" s="21"/>
      <c r="I473" s="21"/>
    </row>
    <row r="474" spans="1:9" s="169" customFormat="1" ht="12.75">
      <c r="A474" s="21"/>
      <c r="B474" s="21"/>
      <c r="C474" s="21"/>
      <c r="D474" s="21"/>
      <c r="E474" s="20"/>
      <c r="F474" s="21"/>
      <c r="G474" s="21"/>
      <c r="H474" s="21"/>
      <c r="I474" s="21"/>
    </row>
    <row r="475" spans="1:9" s="169" customFormat="1" ht="12.75">
      <c r="A475" s="21"/>
      <c r="B475" s="21"/>
      <c r="C475" s="21"/>
      <c r="D475" s="21"/>
      <c r="E475" s="20"/>
      <c r="F475" s="21"/>
      <c r="G475" s="21"/>
      <c r="H475" s="21"/>
      <c r="I475" s="21"/>
    </row>
    <row r="476" spans="1:9" s="169" customFormat="1" ht="12.75">
      <c r="A476" s="21"/>
      <c r="B476" s="21"/>
      <c r="C476" s="21"/>
      <c r="D476" s="21"/>
      <c r="E476" s="20"/>
      <c r="F476" s="21"/>
      <c r="G476" s="21"/>
      <c r="H476" s="21"/>
      <c r="I476" s="21"/>
    </row>
    <row r="477" spans="1:9" s="169" customFormat="1" ht="12.75">
      <c r="A477" s="21"/>
      <c r="B477" s="21"/>
      <c r="C477" s="21"/>
      <c r="D477" s="21"/>
      <c r="E477" s="20"/>
      <c r="F477" s="21"/>
      <c r="G477" s="21"/>
      <c r="H477" s="21"/>
      <c r="I477" s="21"/>
    </row>
    <row r="478" spans="1:9" s="169" customFormat="1" ht="12.75">
      <c r="A478" s="21"/>
      <c r="B478" s="21"/>
      <c r="C478" s="21"/>
      <c r="D478" s="21"/>
      <c r="E478" s="20"/>
      <c r="F478" s="21"/>
      <c r="G478" s="21"/>
      <c r="H478" s="21"/>
      <c r="I478" s="21"/>
    </row>
    <row r="479" spans="1:9" s="169" customFormat="1" ht="12.75">
      <c r="A479" s="21"/>
      <c r="B479" s="21"/>
      <c r="C479" s="21"/>
      <c r="D479" s="21"/>
      <c r="E479" s="20"/>
      <c r="F479" s="21"/>
      <c r="G479" s="21"/>
      <c r="H479" s="21"/>
      <c r="I479" s="21"/>
    </row>
    <row r="480" spans="1:9" s="169" customFormat="1" ht="12.75">
      <c r="A480" s="21"/>
      <c r="B480" s="21"/>
      <c r="C480" s="21"/>
      <c r="D480" s="21"/>
      <c r="E480" s="20"/>
      <c r="F480" s="21"/>
      <c r="G480" s="21"/>
      <c r="H480" s="21"/>
      <c r="I480" s="21"/>
    </row>
    <row r="481" spans="1:9" s="169" customFormat="1" ht="12.75">
      <c r="A481" s="21"/>
      <c r="B481" s="21"/>
      <c r="C481" s="21"/>
      <c r="D481" s="21"/>
      <c r="E481" s="20"/>
      <c r="F481" s="21"/>
      <c r="G481" s="21"/>
      <c r="H481" s="21"/>
      <c r="I481" s="21"/>
    </row>
    <row r="482" spans="1:9" s="169" customFormat="1" ht="12.75">
      <c r="A482" s="21"/>
      <c r="B482" s="21"/>
      <c r="C482" s="21"/>
      <c r="D482" s="21"/>
      <c r="E482" s="20"/>
      <c r="F482" s="21"/>
      <c r="G482" s="21"/>
      <c r="H482" s="21"/>
      <c r="I482" s="21"/>
    </row>
    <row r="483" spans="1:9" s="169" customFormat="1" ht="12.75">
      <c r="A483" s="21"/>
      <c r="B483" s="21"/>
      <c r="C483" s="21"/>
      <c r="D483" s="21"/>
      <c r="E483" s="20"/>
      <c r="F483" s="21"/>
      <c r="G483" s="21"/>
      <c r="H483" s="21"/>
      <c r="I483" s="21"/>
    </row>
    <row r="484" spans="1:9" s="169" customFormat="1" ht="12.75">
      <c r="A484" s="21"/>
      <c r="B484" s="21"/>
      <c r="C484" s="21"/>
      <c r="D484" s="21"/>
      <c r="E484" s="20"/>
      <c r="F484" s="21"/>
      <c r="G484" s="21"/>
      <c r="H484" s="21"/>
      <c r="I484" s="21"/>
    </row>
    <row r="485" spans="1:9" s="169" customFormat="1" ht="12.75">
      <c r="A485" s="21"/>
      <c r="B485" s="21"/>
      <c r="C485" s="21"/>
      <c r="D485" s="21"/>
      <c r="E485" s="20"/>
      <c r="F485" s="21"/>
      <c r="G485" s="21"/>
      <c r="H485" s="21"/>
      <c r="I485" s="21"/>
    </row>
    <row r="486" spans="1:9" s="169" customFormat="1" ht="12.75">
      <c r="A486" s="21"/>
      <c r="B486" s="21"/>
      <c r="C486" s="21"/>
      <c r="D486" s="21"/>
      <c r="E486" s="20"/>
      <c r="F486" s="21"/>
      <c r="G486" s="21"/>
      <c r="H486" s="21"/>
      <c r="I486" s="21"/>
    </row>
    <row r="487" spans="1:9" s="169" customFormat="1" ht="12.75">
      <c r="A487" s="21"/>
      <c r="B487" s="21"/>
      <c r="C487" s="21"/>
      <c r="D487" s="21"/>
      <c r="E487" s="20"/>
      <c r="F487" s="21"/>
      <c r="G487" s="21"/>
      <c r="H487" s="21"/>
      <c r="I487" s="21"/>
    </row>
    <row r="488" spans="1:9" s="169" customFormat="1" ht="12.75">
      <c r="A488" s="21"/>
      <c r="B488" s="21"/>
      <c r="C488" s="21"/>
      <c r="D488" s="21"/>
      <c r="E488" s="20"/>
      <c r="F488" s="21"/>
      <c r="G488" s="21"/>
      <c r="H488" s="21"/>
      <c r="I488" s="21"/>
    </row>
    <row r="489" spans="1:9" s="169" customFormat="1" ht="12.75">
      <c r="A489" s="21"/>
      <c r="B489" s="21"/>
      <c r="C489" s="21"/>
      <c r="D489" s="21"/>
      <c r="E489" s="20"/>
      <c r="F489" s="21"/>
      <c r="G489" s="21"/>
      <c r="H489" s="21"/>
      <c r="I489" s="21"/>
    </row>
    <row r="490" spans="1:9" s="169" customFormat="1" ht="12.75">
      <c r="A490" s="21"/>
      <c r="B490" s="21"/>
      <c r="C490" s="21"/>
      <c r="D490" s="21"/>
      <c r="E490" s="20"/>
      <c r="F490" s="21"/>
      <c r="G490" s="21"/>
      <c r="H490" s="21"/>
      <c r="I490" s="21"/>
    </row>
    <row r="491" spans="1:9" ht="12.75">
      <c r="A491" s="17"/>
      <c r="B491" s="17"/>
      <c r="C491" s="21"/>
      <c r="D491" s="17"/>
      <c r="E491" s="18"/>
      <c r="F491" s="17"/>
      <c r="G491" s="17"/>
      <c r="H491" s="21"/>
      <c r="I491" s="17"/>
    </row>
    <row r="492" spans="1:9" ht="12.75">
      <c r="A492" s="17"/>
      <c r="B492" s="17"/>
      <c r="C492" s="21"/>
      <c r="D492" s="17"/>
      <c r="E492" s="18"/>
      <c r="F492" s="17"/>
      <c r="G492" s="17"/>
      <c r="H492" s="21"/>
      <c r="I492" s="17"/>
    </row>
    <row r="493" spans="1:9" ht="12.75">
      <c r="A493" s="17"/>
      <c r="B493" s="17"/>
      <c r="C493" s="21"/>
      <c r="D493" s="17"/>
      <c r="E493" s="18"/>
      <c r="F493" s="17"/>
      <c r="G493" s="17"/>
      <c r="H493" s="21"/>
      <c r="I493" s="17"/>
    </row>
    <row r="494" spans="1:9" ht="12.75">
      <c r="A494" s="17"/>
      <c r="B494" s="17"/>
      <c r="C494" s="21"/>
      <c r="D494" s="17"/>
      <c r="E494" s="18"/>
      <c r="F494" s="17"/>
      <c r="G494" s="17"/>
      <c r="H494" s="21"/>
      <c r="I494" s="17"/>
    </row>
    <row r="495" spans="1:9" ht="12.75">
      <c r="A495" s="17"/>
      <c r="B495" s="17"/>
      <c r="C495" s="21"/>
      <c r="D495" s="17"/>
      <c r="E495" s="18"/>
      <c r="F495" s="17"/>
      <c r="G495" s="17"/>
      <c r="H495" s="21"/>
      <c r="I495" s="17"/>
    </row>
    <row r="496" spans="1:9" ht="12.75">
      <c r="A496" s="17"/>
      <c r="B496" s="17"/>
      <c r="C496" s="21"/>
      <c r="D496" s="17"/>
      <c r="E496" s="18"/>
      <c r="F496" s="17"/>
      <c r="G496" s="17"/>
      <c r="H496" s="21"/>
      <c r="I496" s="17"/>
    </row>
    <row r="497" spans="1:9" ht="12.75">
      <c r="A497" s="17"/>
      <c r="B497" s="17"/>
      <c r="C497" s="21"/>
      <c r="D497" s="17"/>
      <c r="E497" s="18"/>
      <c r="F497" s="17"/>
      <c r="G497" s="17"/>
      <c r="H497" s="21"/>
      <c r="I497" s="17"/>
    </row>
    <row r="498" spans="1:9" ht="12.75">
      <c r="A498" s="17"/>
      <c r="B498" s="17"/>
      <c r="C498" s="21"/>
      <c r="D498" s="17"/>
      <c r="E498" s="18"/>
      <c r="F498" s="17"/>
      <c r="G498" s="17"/>
      <c r="H498" s="21"/>
      <c r="I498" s="17"/>
    </row>
    <row r="499" spans="1:9" ht="12.75">
      <c r="A499" s="17"/>
      <c r="B499" s="17"/>
      <c r="C499" s="21"/>
      <c r="D499" s="17"/>
      <c r="E499" s="18"/>
      <c r="F499" s="17"/>
      <c r="G499" s="17"/>
      <c r="H499" s="21"/>
      <c r="I499" s="17"/>
    </row>
    <row r="500" spans="1:9" ht="12.75">
      <c r="A500" s="17"/>
      <c r="B500" s="17"/>
      <c r="C500" s="21"/>
      <c r="D500" s="17"/>
      <c r="E500" s="18"/>
      <c r="F500" s="17"/>
      <c r="G500" s="17"/>
      <c r="H500" s="21"/>
      <c r="I500" s="17"/>
    </row>
    <row r="501" spans="1:9" ht="12.75">
      <c r="A501" s="17"/>
      <c r="B501" s="17"/>
      <c r="C501" s="21"/>
      <c r="D501" s="17"/>
      <c r="E501" s="18"/>
      <c r="F501" s="17"/>
      <c r="G501" s="17"/>
      <c r="H501" s="21"/>
      <c r="I501" s="17"/>
    </row>
    <row r="502" spans="1:9" ht="12.75">
      <c r="A502" s="17"/>
      <c r="B502" s="17"/>
      <c r="C502" s="21"/>
      <c r="D502" s="17"/>
      <c r="E502" s="18"/>
      <c r="F502" s="17"/>
      <c r="G502" s="17"/>
      <c r="H502" s="21"/>
      <c r="I502" s="17"/>
    </row>
    <row r="503" spans="1:9" ht="12.75">
      <c r="A503" s="17"/>
      <c r="B503" s="17"/>
      <c r="C503" s="21"/>
      <c r="D503" s="17"/>
      <c r="E503" s="18"/>
      <c r="F503" s="17"/>
      <c r="G503" s="17"/>
      <c r="H503" s="21"/>
      <c r="I503" s="17"/>
    </row>
    <row r="504" spans="1:9" ht="12.75">
      <c r="A504" s="17"/>
      <c r="B504" s="17"/>
      <c r="C504" s="21"/>
      <c r="D504" s="17"/>
      <c r="E504" s="18"/>
      <c r="F504" s="17"/>
      <c r="G504" s="17"/>
      <c r="H504" s="21"/>
      <c r="I504" s="17"/>
    </row>
    <row r="505" spans="1:9" ht="12.75">
      <c r="A505" s="17"/>
      <c r="B505" s="17"/>
      <c r="C505" s="21"/>
      <c r="D505" s="17"/>
      <c r="E505" s="18"/>
      <c r="F505" s="17"/>
      <c r="G505" s="17"/>
      <c r="H505" s="21"/>
      <c r="I505" s="17"/>
    </row>
    <row r="506" spans="1:9" ht="12.75">
      <c r="A506" s="17"/>
      <c r="B506" s="17"/>
      <c r="C506" s="21"/>
      <c r="D506" s="17"/>
      <c r="E506" s="18"/>
      <c r="F506" s="17"/>
      <c r="G506" s="17"/>
      <c r="H506" s="21"/>
      <c r="I506" s="17"/>
    </row>
    <row r="507" spans="1:9" ht="12.75">
      <c r="A507" s="17"/>
      <c r="B507" s="17"/>
      <c r="C507" s="21"/>
      <c r="D507" s="17"/>
      <c r="E507" s="18"/>
      <c r="F507" s="17"/>
      <c r="G507" s="17"/>
      <c r="H507" s="21"/>
      <c r="I507" s="17"/>
    </row>
    <row r="508" spans="1:9" ht="12.75">
      <c r="A508" s="17"/>
      <c r="B508" s="17"/>
      <c r="C508" s="21"/>
      <c r="D508" s="17"/>
      <c r="E508" s="18"/>
      <c r="F508" s="17"/>
      <c r="G508" s="17"/>
      <c r="H508" s="21"/>
      <c r="I508" s="17"/>
    </row>
    <row r="509" spans="1:9" ht="12.75">
      <c r="A509" s="17"/>
      <c r="B509" s="17"/>
      <c r="C509" s="21"/>
      <c r="D509" s="17"/>
      <c r="E509" s="18"/>
      <c r="F509" s="17"/>
      <c r="G509" s="17"/>
      <c r="H509" s="21"/>
      <c r="I509" s="17"/>
    </row>
    <row r="510" spans="1:9" ht="12.75">
      <c r="A510" s="17"/>
      <c r="B510" s="17"/>
      <c r="C510" s="21"/>
      <c r="D510" s="17"/>
      <c r="E510" s="18"/>
      <c r="F510" s="17"/>
      <c r="G510" s="17"/>
      <c r="H510" s="21"/>
      <c r="I510" s="17"/>
    </row>
    <row r="511" spans="1:9" ht="12.75">
      <c r="A511" s="17"/>
      <c r="B511" s="17"/>
      <c r="C511" s="21"/>
      <c r="D511" s="17"/>
      <c r="E511" s="18"/>
      <c r="F511" s="17"/>
      <c r="G511" s="17"/>
      <c r="H511" s="21"/>
      <c r="I511" s="17"/>
    </row>
    <row r="512" spans="1:9" ht="12.75">
      <c r="A512" s="17"/>
      <c r="B512" s="17"/>
      <c r="C512" s="21"/>
      <c r="D512" s="17"/>
      <c r="E512" s="18"/>
      <c r="F512" s="17"/>
      <c r="G512" s="17"/>
      <c r="H512" s="21"/>
      <c r="I512" s="17"/>
    </row>
    <row r="513" spans="1:9" ht="12.75">
      <c r="A513" s="17"/>
      <c r="B513" s="17"/>
      <c r="C513" s="21"/>
      <c r="D513" s="17"/>
      <c r="E513" s="18"/>
      <c r="F513" s="17"/>
      <c r="G513" s="17"/>
      <c r="H513" s="21"/>
      <c r="I513" s="17"/>
    </row>
    <row r="514" spans="1:9" ht="12.75">
      <c r="A514" s="17"/>
      <c r="B514" s="17"/>
      <c r="C514" s="21"/>
      <c r="D514" s="17"/>
      <c r="E514" s="18"/>
      <c r="F514" s="17"/>
      <c r="G514" s="17"/>
      <c r="H514" s="21"/>
      <c r="I514" s="17"/>
    </row>
    <row r="515" spans="1:9" ht="12.75">
      <c r="A515" s="17"/>
      <c r="B515" s="17"/>
      <c r="C515" s="21"/>
      <c r="D515" s="17"/>
      <c r="E515" s="18"/>
      <c r="F515" s="17"/>
      <c r="G515" s="17"/>
      <c r="H515" s="21"/>
      <c r="I515" s="17"/>
    </row>
    <row r="516" spans="1:9" ht="12.75">
      <c r="A516" s="17"/>
      <c r="B516" s="17"/>
      <c r="C516" s="21"/>
      <c r="D516" s="17"/>
      <c r="E516" s="18"/>
      <c r="F516" s="17"/>
      <c r="G516" s="17"/>
      <c r="H516" s="21"/>
      <c r="I516" s="17"/>
    </row>
    <row r="517" spans="1:9" ht="12.75">
      <c r="A517" s="17"/>
      <c r="B517" s="17"/>
      <c r="C517" s="21"/>
      <c r="D517" s="17"/>
      <c r="E517" s="18"/>
      <c r="F517" s="17"/>
      <c r="G517" s="17"/>
      <c r="H517" s="21"/>
      <c r="I517" s="17"/>
    </row>
    <row r="518" spans="1:9" ht="12.75">
      <c r="A518" s="17"/>
      <c r="B518" s="17"/>
      <c r="C518" s="21"/>
      <c r="D518" s="17"/>
      <c r="E518" s="18"/>
      <c r="F518" s="17"/>
      <c r="G518" s="17"/>
      <c r="H518" s="21"/>
      <c r="I518" s="17"/>
    </row>
    <row r="519" spans="1:9" ht="12.75">
      <c r="A519" s="17"/>
      <c r="B519" s="17"/>
      <c r="C519" s="21"/>
      <c r="D519" s="17"/>
      <c r="E519" s="18"/>
      <c r="F519" s="17"/>
      <c r="G519" s="17"/>
      <c r="H519" s="21"/>
      <c r="I519" s="17"/>
    </row>
    <row r="520" spans="1:9" ht="12.75">
      <c r="A520" s="17"/>
      <c r="B520" s="17"/>
      <c r="C520" s="21"/>
      <c r="D520" s="17"/>
      <c r="E520" s="18"/>
      <c r="F520" s="17"/>
      <c r="G520" s="17"/>
      <c r="H520" s="21"/>
      <c r="I520" s="17"/>
    </row>
    <row r="521" spans="1:9" ht="12.75">
      <c r="A521" s="17"/>
      <c r="B521" s="17"/>
      <c r="C521" s="21"/>
      <c r="D521" s="17"/>
      <c r="E521" s="18"/>
      <c r="F521" s="17"/>
      <c r="G521" s="17"/>
      <c r="H521" s="21"/>
      <c r="I521" s="17"/>
    </row>
    <row r="522" spans="1:9" ht="12.75">
      <c r="A522" s="17"/>
      <c r="B522" s="17"/>
      <c r="C522" s="21"/>
      <c r="D522" s="17"/>
      <c r="E522" s="18"/>
      <c r="F522" s="17"/>
      <c r="G522" s="17"/>
      <c r="H522" s="21"/>
      <c r="I522" s="17"/>
    </row>
    <row r="523" spans="1:9" ht="12.75">
      <c r="A523" s="17"/>
      <c r="B523" s="17"/>
      <c r="C523" s="21"/>
      <c r="D523" s="17"/>
      <c r="E523" s="18"/>
      <c r="F523" s="17"/>
      <c r="G523" s="17"/>
      <c r="H523" s="21"/>
      <c r="I523" s="17"/>
    </row>
    <row r="524" spans="1:9" ht="12.75">
      <c r="A524" s="17"/>
      <c r="B524" s="17"/>
      <c r="C524" s="21"/>
      <c r="D524" s="17"/>
      <c r="E524" s="18"/>
      <c r="F524" s="17"/>
      <c r="G524" s="17"/>
      <c r="H524" s="21"/>
      <c r="I524" s="17"/>
    </row>
    <row r="525" spans="1:9" ht="12.75">
      <c r="A525" s="17"/>
      <c r="B525" s="17"/>
      <c r="C525" s="21"/>
      <c r="D525" s="17"/>
      <c r="E525" s="18"/>
      <c r="F525" s="17"/>
      <c r="G525" s="17"/>
      <c r="H525" s="21"/>
      <c r="I525" s="17"/>
    </row>
    <row r="526" spans="1:9" ht="12.75">
      <c r="A526" s="17"/>
      <c r="B526" s="17"/>
      <c r="C526" s="21"/>
      <c r="D526" s="17"/>
      <c r="E526" s="18"/>
      <c r="F526" s="17"/>
      <c r="G526" s="17"/>
      <c r="H526" s="21"/>
      <c r="I526" s="17"/>
    </row>
    <row r="527" spans="1:9" ht="12.75">
      <c r="A527" s="17"/>
      <c r="B527" s="17"/>
      <c r="C527" s="21"/>
      <c r="D527" s="17"/>
      <c r="E527" s="18"/>
      <c r="F527" s="17"/>
      <c r="G527" s="17"/>
      <c r="H527" s="21"/>
      <c r="I527" s="17"/>
    </row>
    <row r="528" spans="1:9" ht="12.75">
      <c r="A528" s="17"/>
      <c r="B528" s="17"/>
      <c r="C528" s="21"/>
      <c r="D528" s="17"/>
      <c r="E528" s="18"/>
      <c r="F528" s="17"/>
      <c r="G528" s="17"/>
      <c r="H528" s="21"/>
      <c r="I528" s="17"/>
    </row>
    <row r="529" spans="1:9" ht="12.75">
      <c r="A529" s="17"/>
      <c r="B529" s="17"/>
      <c r="C529" s="21"/>
      <c r="D529" s="17"/>
      <c r="E529" s="18"/>
      <c r="F529" s="17"/>
      <c r="G529" s="17"/>
      <c r="H529" s="21"/>
      <c r="I529" s="17"/>
    </row>
    <row r="530" spans="1:9" ht="12.75">
      <c r="A530" s="17"/>
      <c r="B530" s="17"/>
      <c r="C530" s="21"/>
      <c r="D530" s="17"/>
      <c r="E530" s="18"/>
      <c r="F530" s="17"/>
      <c r="G530" s="17"/>
      <c r="H530" s="21"/>
      <c r="I530" s="17"/>
    </row>
    <row r="531" spans="1:9" ht="12.75">
      <c r="A531" s="17"/>
      <c r="B531" s="17"/>
      <c r="C531" s="21"/>
      <c r="D531" s="17"/>
      <c r="E531" s="18"/>
      <c r="F531" s="17"/>
      <c r="G531" s="17"/>
      <c r="H531" s="21"/>
      <c r="I531" s="17"/>
    </row>
    <row r="532" spans="1:9" ht="12.75">
      <c r="A532" s="17"/>
      <c r="B532" s="17"/>
      <c r="C532" s="21"/>
      <c r="D532" s="17"/>
      <c r="E532" s="18"/>
      <c r="F532" s="17"/>
      <c r="G532" s="17"/>
      <c r="H532" s="21"/>
      <c r="I532" s="17"/>
    </row>
    <row r="533" spans="1:9" ht="12.75">
      <c r="A533" s="17"/>
      <c r="B533" s="17"/>
      <c r="C533" s="21"/>
      <c r="D533" s="17"/>
      <c r="E533" s="18"/>
      <c r="F533" s="17"/>
      <c r="G533" s="17"/>
      <c r="H533" s="21"/>
      <c r="I533" s="17"/>
    </row>
    <row r="534" spans="1:9" ht="12.75">
      <c r="A534" s="17"/>
      <c r="B534" s="17"/>
      <c r="C534" s="21"/>
      <c r="D534" s="17"/>
      <c r="E534" s="18"/>
      <c r="F534" s="17"/>
      <c r="G534" s="17"/>
      <c r="H534" s="21"/>
      <c r="I534" s="17"/>
    </row>
    <row r="535" spans="1:9" ht="12.75">
      <c r="A535" s="17"/>
      <c r="B535" s="17"/>
      <c r="C535" s="21"/>
      <c r="D535" s="17"/>
      <c r="E535" s="18"/>
      <c r="F535" s="17"/>
      <c r="G535" s="17"/>
      <c r="H535" s="21"/>
      <c r="I535" s="17"/>
    </row>
    <row r="536" spans="1:9" ht="12.75">
      <c r="A536" s="17"/>
      <c r="B536" s="17"/>
      <c r="C536" s="21"/>
      <c r="D536" s="17"/>
      <c r="E536" s="18"/>
      <c r="F536" s="17"/>
      <c r="G536" s="17"/>
      <c r="H536" s="21"/>
      <c r="I536" s="17"/>
    </row>
    <row r="537" spans="1:9" ht="12.75">
      <c r="A537" s="17"/>
      <c r="B537" s="17"/>
      <c r="C537" s="21"/>
      <c r="D537" s="17"/>
      <c r="E537" s="18"/>
      <c r="F537" s="17"/>
      <c r="G537" s="17"/>
      <c r="H537" s="21"/>
      <c r="I537" s="17"/>
    </row>
    <row r="538" spans="1:9" ht="12.75">
      <c r="A538" s="17"/>
      <c r="B538" s="17"/>
      <c r="C538" s="21"/>
      <c r="D538" s="17"/>
      <c r="E538" s="18"/>
      <c r="F538" s="17"/>
      <c r="G538" s="17"/>
      <c r="H538" s="21"/>
      <c r="I538" s="17"/>
    </row>
  </sheetData>
  <sheetProtection password="CC93" sheet="1" objects="1" scenarios="1"/>
  <mergeCells count="6">
    <mergeCell ref="C24:D25"/>
    <mergeCell ref="C49:D50"/>
    <mergeCell ref="A86:E86"/>
    <mergeCell ref="A72:G72"/>
    <mergeCell ref="G77:H78"/>
    <mergeCell ref="A73:H74"/>
  </mergeCells>
  <printOptions gridLines="1" horizontalCentered="1"/>
  <pageMargins left="0.75" right="0.25" top="0.75" bottom="0.75" header="0.5" footer="0.5"/>
  <pageSetup horizontalDpi="600" verticalDpi="600" orientation="portrait" scale="89" r:id="rId1"/>
  <headerFooter alignWithMargins="0">
    <oddHeader>&amp;L&amp;D</oddHeader>
    <oddFooter>&amp;L&amp;F&amp;R&amp;A</oddFooter>
  </headerFooter>
  <rowBreaks count="2" manualBreakCount="2">
    <brk id="52" max="7" man="1"/>
    <brk id="96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62"/>
  <sheetViews>
    <sheetView zoomScale="75" zoomScaleNormal="75" zoomScaleSheetLayoutView="75" zoomScalePageLayoutView="0" workbookViewId="0" topLeftCell="A1">
      <selection activeCell="A7" sqref="A7"/>
    </sheetView>
  </sheetViews>
  <sheetFormatPr defaultColWidth="9.140625" defaultRowHeight="12.75"/>
  <cols>
    <col min="1" max="1" width="28.28125" style="110" customWidth="1"/>
    <col min="2" max="27" width="10.57421875" style="110" customWidth="1"/>
    <col min="28" max="28" width="9.8515625" style="110" bestFit="1" customWidth="1"/>
    <col min="29" max="29" width="9.28125" style="110" bestFit="1" customWidth="1"/>
    <col min="30" max="31" width="9.8515625" style="110" bestFit="1" customWidth="1"/>
    <col min="32" max="32" width="10.8515625" style="110" customWidth="1"/>
    <col min="33" max="34" width="9.8515625" style="110" bestFit="1" customWidth="1"/>
    <col min="35" max="35" width="8.421875" style="110" customWidth="1"/>
    <col min="36" max="36" width="15.7109375" style="110" customWidth="1"/>
    <col min="37" max="37" width="7.140625" style="110" bestFit="1" customWidth="1"/>
    <col min="38" max="38" width="8.7109375" style="110" customWidth="1"/>
    <col min="39" max="39" width="8.7109375" style="110" bestFit="1" customWidth="1"/>
    <col min="40" max="40" width="8.57421875" style="110" bestFit="1" customWidth="1"/>
    <col min="41" max="41" width="6.57421875" style="110" bestFit="1" customWidth="1"/>
    <col min="42" max="208" width="9.7109375" style="110" customWidth="1"/>
    <col min="209" max="16384" width="9.140625" style="110" customWidth="1"/>
  </cols>
  <sheetData>
    <row r="1" spans="1:34" ht="18">
      <c r="A1" s="60" t="s">
        <v>85</v>
      </c>
      <c r="B1" s="49" t="s">
        <v>266</v>
      </c>
      <c r="C1" s="49"/>
      <c r="D1" s="49"/>
      <c r="E1" s="49"/>
      <c r="F1" s="49"/>
      <c r="G1" s="52"/>
      <c r="H1" s="49"/>
      <c r="I1" s="49"/>
      <c r="J1" s="49"/>
      <c r="K1" s="49"/>
      <c r="L1" s="49"/>
      <c r="M1" s="52"/>
      <c r="O1" s="46"/>
      <c r="P1" s="46"/>
      <c r="Q1" s="46"/>
      <c r="R1" s="49"/>
      <c r="S1" s="52"/>
      <c r="T1" s="52"/>
      <c r="U1" s="49"/>
      <c r="V1" s="49"/>
      <c r="W1" s="49"/>
      <c r="X1" s="49"/>
      <c r="Y1" s="49"/>
      <c r="Z1" s="52"/>
      <c r="AA1" s="49"/>
      <c r="AB1" s="49"/>
      <c r="AC1" s="49"/>
      <c r="AD1" s="49"/>
      <c r="AE1" s="49"/>
      <c r="AF1" s="52"/>
      <c r="AG1" s="49"/>
      <c r="AH1" s="49"/>
    </row>
    <row r="2" spans="1:46" s="112" customFormat="1" ht="16.5" customHeight="1">
      <c r="A2" s="46" t="s">
        <v>264</v>
      </c>
      <c r="B2" s="46"/>
      <c r="C2" s="128"/>
      <c r="D2" s="123"/>
      <c r="E2" s="123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61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</row>
    <row r="3" spans="1:31" s="45" customFormat="1" ht="18">
      <c r="A3" s="389" t="s">
        <v>167</v>
      </c>
      <c r="B3" s="389"/>
      <c r="C3" s="389"/>
      <c r="D3" s="90">
        <v>0.441</v>
      </c>
      <c r="E3" s="45" t="s">
        <v>170</v>
      </c>
      <c r="P3" s="42"/>
      <c r="U3" s="42"/>
      <c r="Z3" s="42"/>
      <c r="AC3" s="4"/>
      <c r="AE3" s="54"/>
    </row>
    <row r="4" spans="1:34" ht="18">
      <c r="A4" s="117" t="s">
        <v>210</v>
      </c>
      <c r="B4" s="117"/>
      <c r="C4" s="112"/>
      <c r="F4" s="46"/>
      <c r="G4" s="50"/>
      <c r="H4" s="46"/>
      <c r="I4" s="46"/>
      <c r="J4" s="46"/>
      <c r="K4" s="46"/>
      <c r="L4" s="46"/>
      <c r="M4" s="50"/>
      <c r="N4" s="46"/>
      <c r="O4" s="46"/>
      <c r="P4" s="46"/>
      <c r="Q4" s="46"/>
      <c r="R4" s="46"/>
      <c r="S4" s="50"/>
      <c r="T4" s="50"/>
      <c r="U4" s="46"/>
      <c r="V4" s="46"/>
      <c r="W4" s="49"/>
      <c r="X4" s="49"/>
      <c r="Y4" s="49"/>
      <c r="Z4" s="52"/>
      <c r="AA4" s="46"/>
      <c r="AH4" s="49"/>
    </row>
    <row r="5" spans="1:42" s="61" customFormat="1" ht="18">
      <c r="A5" s="133" t="s">
        <v>194</v>
      </c>
      <c r="B5" s="133"/>
      <c r="C5" s="111"/>
      <c r="D5" s="111"/>
      <c r="E5" s="111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19"/>
      <c r="AI5" s="111"/>
      <c r="AJ5" s="111"/>
      <c r="AK5" s="111"/>
      <c r="AL5" s="111"/>
      <c r="AM5" s="111"/>
      <c r="AN5" s="111"/>
      <c r="AO5" s="111"/>
      <c r="AP5" s="111"/>
    </row>
    <row r="6" spans="1:50" s="49" customFormat="1" ht="15.75" customHeight="1">
      <c r="A6" s="50"/>
      <c r="B6" s="50"/>
      <c r="D6" s="50"/>
      <c r="E6" s="390" t="s">
        <v>227</v>
      </c>
      <c r="F6" s="391"/>
      <c r="G6" s="391"/>
      <c r="H6" s="391"/>
      <c r="I6" s="391"/>
      <c r="J6" s="391"/>
      <c r="K6" s="160"/>
      <c r="L6" s="387"/>
      <c r="M6" s="388"/>
      <c r="N6" s="388"/>
      <c r="O6" s="388"/>
      <c r="P6" s="388"/>
      <c r="Q6" s="73"/>
      <c r="R6" s="387"/>
      <c r="S6" s="388"/>
      <c r="T6" s="388"/>
      <c r="U6" s="388"/>
      <c r="V6" s="388"/>
      <c r="W6" s="388"/>
      <c r="X6" s="73"/>
      <c r="Y6" s="305"/>
      <c r="Z6" s="306"/>
      <c r="AA6" s="306"/>
      <c r="AB6" s="306"/>
      <c r="AC6" s="306"/>
      <c r="AD6" s="73"/>
      <c r="AE6" s="387"/>
      <c r="AF6" s="388"/>
      <c r="AG6" s="388"/>
      <c r="AH6" s="388"/>
      <c r="AI6" s="388"/>
      <c r="AJ6" s="73"/>
      <c r="AK6" s="387"/>
      <c r="AL6" s="388"/>
      <c r="AM6" s="388"/>
      <c r="AN6" s="388"/>
      <c r="AO6" s="388"/>
      <c r="AP6" s="73"/>
      <c r="AQ6" s="387"/>
      <c r="AR6" s="388"/>
      <c r="AS6" s="388"/>
      <c r="AT6" s="388"/>
      <c r="AU6" s="388"/>
      <c r="AV6" s="61"/>
      <c r="AW6" s="61"/>
      <c r="AX6" s="61"/>
    </row>
    <row r="7" spans="6:49" s="122" customFormat="1" ht="15">
      <c r="F7" s="338">
        <v>0</v>
      </c>
      <c r="G7" s="115" t="s">
        <v>191</v>
      </c>
      <c r="H7" s="115"/>
      <c r="I7" s="115"/>
      <c r="L7" s="54"/>
      <c r="M7" s="115"/>
      <c r="N7" s="115"/>
      <c r="O7" s="115"/>
      <c r="R7" s="54"/>
      <c r="S7" s="115"/>
      <c r="T7" s="115"/>
      <c r="U7" s="115"/>
      <c r="V7" s="115"/>
      <c r="Y7" s="54"/>
      <c r="Z7" s="115"/>
      <c r="AA7" s="115"/>
      <c r="AB7" s="115"/>
      <c r="AE7" s="54"/>
      <c r="AF7" s="115"/>
      <c r="AG7" s="115"/>
      <c r="AH7" s="115"/>
      <c r="AK7" s="54"/>
      <c r="AL7" s="115"/>
      <c r="AM7" s="115"/>
      <c r="AN7" s="115"/>
      <c r="AQ7" s="54"/>
      <c r="AR7" s="115"/>
      <c r="AS7" s="115"/>
      <c r="AT7" s="115"/>
      <c r="AW7" s="115"/>
    </row>
    <row r="8" spans="6:49" s="122" customFormat="1" ht="15">
      <c r="F8" s="54">
        <v>0</v>
      </c>
      <c r="G8" s="115" t="s">
        <v>212</v>
      </c>
      <c r="H8" s="115"/>
      <c r="I8" s="115"/>
      <c r="L8" s="54"/>
      <c r="M8" s="115"/>
      <c r="N8" s="115"/>
      <c r="O8" s="115"/>
      <c r="R8" s="54"/>
      <c r="S8" s="115"/>
      <c r="T8" s="115"/>
      <c r="U8" s="115"/>
      <c r="V8" s="115"/>
      <c r="Y8" s="54"/>
      <c r="Z8" s="115"/>
      <c r="AA8" s="115"/>
      <c r="AB8" s="115"/>
      <c r="AE8" s="54"/>
      <c r="AF8" s="115"/>
      <c r="AG8" s="115"/>
      <c r="AH8" s="115"/>
      <c r="AK8" s="54"/>
      <c r="AL8" s="115"/>
      <c r="AM8" s="115"/>
      <c r="AN8" s="115"/>
      <c r="AQ8" s="54"/>
      <c r="AR8" s="115"/>
      <c r="AS8" s="115"/>
      <c r="AT8" s="115"/>
      <c r="AW8" s="112"/>
    </row>
    <row r="9" spans="3:30" s="112" customFormat="1" ht="15.75">
      <c r="C9" s="130"/>
      <c r="D9" s="49"/>
      <c r="E9" s="49"/>
      <c r="F9" s="341">
        <v>187.96</v>
      </c>
      <c r="G9" s="112" t="s">
        <v>200</v>
      </c>
      <c r="J9" s="49"/>
      <c r="K9" s="49"/>
      <c r="L9" s="44"/>
      <c r="P9" s="49"/>
      <c r="Q9" s="49"/>
      <c r="R9" s="54"/>
      <c r="W9" s="49"/>
      <c r="X9" s="49"/>
      <c r="Y9" s="54"/>
      <c r="AC9" s="49"/>
      <c r="AD9" s="49"/>
    </row>
    <row r="10" spans="3:44" s="112" customFormat="1" ht="15">
      <c r="C10" s="130"/>
      <c r="F10" s="54">
        <f>SUM(F7:F9)</f>
        <v>187.96</v>
      </c>
      <c r="G10" s="49" t="s">
        <v>201</v>
      </c>
      <c r="H10" s="49"/>
      <c r="I10" s="49"/>
      <c r="L10" s="54"/>
      <c r="M10" s="49"/>
      <c r="N10" s="49"/>
      <c r="O10" s="49"/>
      <c r="R10" s="54"/>
      <c r="S10" s="49"/>
      <c r="T10" s="49"/>
      <c r="U10" s="49"/>
      <c r="V10" s="49"/>
      <c r="Y10" s="54"/>
      <c r="Z10" s="49"/>
      <c r="AA10" s="49"/>
      <c r="AB10" s="49"/>
      <c r="AE10" s="54"/>
      <c r="AF10" s="49"/>
      <c r="AG10" s="49"/>
      <c r="AK10" s="54"/>
      <c r="AL10" s="49"/>
      <c r="AQ10" s="54"/>
      <c r="AR10" s="49"/>
    </row>
    <row r="11" spans="1:47" s="127" customFormat="1" ht="93.75" customHeight="1">
      <c r="A11" s="125" t="s">
        <v>88</v>
      </c>
      <c r="B11" s="50" t="s">
        <v>265</v>
      </c>
      <c r="C11" s="124" t="s">
        <v>206</v>
      </c>
      <c r="D11" s="126" t="s">
        <v>196</v>
      </c>
      <c r="E11" s="125" t="s">
        <v>19</v>
      </c>
      <c r="F11" s="126" t="s">
        <v>362</v>
      </c>
      <c r="G11" s="126" t="s">
        <v>217</v>
      </c>
      <c r="H11" s="126" t="s">
        <v>192</v>
      </c>
      <c r="I11" s="126" t="s">
        <v>195</v>
      </c>
      <c r="J11" s="124" t="s">
        <v>297</v>
      </c>
      <c r="K11" s="125"/>
      <c r="L11" s="126"/>
      <c r="M11" s="126"/>
      <c r="N11" s="126"/>
      <c r="O11" s="126"/>
      <c r="P11" s="124"/>
      <c r="Q11" s="125"/>
      <c r="R11" s="126"/>
      <c r="S11" s="126"/>
      <c r="T11" s="126"/>
      <c r="U11" s="126"/>
      <c r="V11" s="126"/>
      <c r="W11" s="124"/>
      <c r="X11" s="125"/>
      <c r="Y11" s="126"/>
      <c r="Z11" s="126"/>
      <c r="AA11" s="126"/>
      <c r="AB11" s="126"/>
      <c r="AC11" s="124"/>
      <c r="AD11" s="125"/>
      <c r="AE11" s="126"/>
      <c r="AF11" s="126"/>
      <c r="AG11" s="126"/>
      <c r="AH11" s="126"/>
      <c r="AI11" s="124"/>
      <c r="AJ11" s="125"/>
      <c r="AK11" s="126"/>
      <c r="AL11" s="126"/>
      <c r="AM11" s="126"/>
      <c r="AN11" s="126"/>
      <c r="AO11" s="124"/>
      <c r="AP11" s="125"/>
      <c r="AQ11" s="126"/>
      <c r="AR11" s="126"/>
      <c r="AS11" s="126"/>
      <c r="AT11" s="126"/>
      <c r="AU11" s="124"/>
    </row>
    <row r="12" spans="1:47" s="127" customFormat="1" ht="15.75" customHeight="1">
      <c r="A12" s="55" t="s">
        <v>180</v>
      </c>
      <c r="B12" s="54">
        <f>F45/$D$3</f>
        <v>0.012322070790083508</v>
      </c>
      <c r="C12" s="179">
        <f>2.21/12</f>
        <v>0.18416666666666667</v>
      </c>
      <c r="D12" s="338">
        <f>0/12</f>
        <v>0</v>
      </c>
      <c r="E12" s="126"/>
      <c r="F12" s="54">
        <f>$F$7*(IF($C12-$D12&lt;0,0,ABS($C12-$D12)))</f>
        <v>0</v>
      </c>
      <c r="G12" s="54">
        <f aca="true" t="shared" si="0" ref="G12:G23">F12/$D$3</f>
        <v>0</v>
      </c>
      <c r="H12" s="49">
        <f>F$9*$B12</f>
        <v>2.316056425704096</v>
      </c>
      <c r="I12" s="54">
        <f>G12+H12</f>
        <v>2.316056425704096</v>
      </c>
      <c r="J12" s="338">
        <v>0</v>
      </c>
      <c r="K12" s="50"/>
      <c r="L12" s="54"/>
      <c r="M12" s="54"/>
      <c r="N12" s="49"/>
      <c r="O12" s="54"/>
      <c r="P12" s="54"/>
      <c r="Q12" s="50"/>
      <c r="R12" s="54"/>
      <c r="S12" s="54"/>
      <c r="T12" s="54"/>
      <c r="U12" s="49"/>
      <c r="V12" s="54"/>
      <c r="W12" s="54"/>
      <c r="X12" s="50"/>
      <c r="Y12" s="54"/>
      <c r="Z12" s="54"/>
      <c r="AA12" s="49"/>
      <c r="AB12" s="54"/>
      <c r="AC12" s="54"/>
      <c r="AD12" s="50"/>
      <c r="AE12" s="54"/>
      <c r="AF12" s="54"/>
      <c r="AG12" s="49"/>
      <c r="AH12" s="54"/>
      <c r="AI12" s="54"/>
      <c r="AJ12" s="50"/>
      <c r="AK12" s="126"/>
      <c r="AL12" s="126"/>
      <c r="AM12" s="126"/>
      <c r="AN12" s="126"/>
      <c r="AO12" s="124"/>
      <c r="AP12" s="50"/>
      <c r="AQ12" s="126"/>
      <c r="AR12" s="126"/>
      <c r="AS12" s="126"/>
      <c r="AT12" s="126"/>
      <c r="AU12" s="124"/>
    </row>
    <row r="13" spans="1:47" s="112" customFormat="1" ht="15.75">
      <c r="A13" s="55" t="s">
        <v>21</v>
      </c>
      <c r="B13" s="51">
        <f>G45/$D$3</f>
        <v>0.14940510832976253</v>
      </c>
      <c r="C13" s="108">
        <f>2.92/12</f>
        <v>0.24333333333333332</v>
      </c>
      <c r="D13" s="339">
        <f>0/12</f>
        <v>0</v>
      </c>
      <c r="E13" s="54"/>
      <c r="F13" s="54">
        <f>$F$7*(IF($C13-$D13&lt;0,0,ABS($C13-$D13)))</f>
        <v>0</v>
      </c>
      <c r="G13" s="54">
        <f t="shared" si="0"/>
        <v>0</v>
      </c>
      <c r="H13" s="49">
        <f>F$9*$B13</f>
        <v>28.082184161662166</v>
      </c>
      <c r="I13" s="54">
        <f aca="true" t="shared" si="1" ref="I13:I22">G13+H13</f>
        <v>28.082184161662166</v>
      </c>
      <c r="J13" s="338">
        <v>0</v>
      </c>
      <c r="K13" s="49"/>
      <c r="L13" s="54"/>
      <c r="M13" s="54"/>
      <c r="N13" s="49"/>
      <c r="O13" s="54"/>
      <c r="P13" s="54"/>
      <c r="Q13" s="49"/>
      <c r="R13" s="54"/>
      <c r="S13" s="54"/>
      <c r="T13" s="54"/>
      <c r="U13" s="49"/>
      <c r="V13" s="54"/>
      <c r="W13" s="54"/>
      <c r="X13" s="49"/>
      <c r="Y13" s="54"/>
      <c r="Z13" s="54"/>
      <c r="AA13" s="49"/>
      <c r="AB13" s="54"/>
      <c r="AC13" s="54"/>
      <c r="AD13" s="49"/>
      <c r="AE13" s="54"/>
      <c r="AF13" s="54"/>
      <c r="AG13" s="49"/>
      <c r="AH13" s="54"/>
      <c r="AI13" s="54"/>
      <c r="AJ13" s="54"/>
      <c r="AK13" s="54"/>
      <c r="AL13" s="54"/>
      <c r="AM13" s="49"/>
      <c r="AN13" s="54"/>
      <c r="AO13" s="54"/>
      <c r="AP13" s="131"/>
      <c r="AQ13" s="54"/>
      <c r="AR13" s="54"/>
      <c r="AS13" s="49"/>
      <c r="AT13" s="54"/>
      <c r="AU13" s="54"/>
    </row>
    <row r="14" spans="1:47" s="112" customFormat="1" ht="15.75">
      <c r="A14" s="55" t="s">
        <v>20</v>
      </c>
      <c r="B14" s="51">
        <f>H45/$D$3</f>
        <v>0.2048544268851383</v>
      </c>
      <c r="C14" s="108">
        <f>6.12/12</f>
        <v>0.51</v>
      </c>
      <c r="D14" s="324">
        <f>0.86/12</f>
        <v>0.07166666666666667</v>
      </c>
      <c r="E14" s="321">
        <v>66.32343514916666</v>
      </c>
      <c r="F14" s="54">
        <f aca="true" t="shared" si="2" ref="F14:F22">$F$7*(IF($C14-$D14&lt;0,0,ABS($C14-$D14)))</f>
        <v>0</v>
      </c>
      <c r="G14" s="54">
        <f t="shared" si="0"/>
        <v>0</v>
      </c>
      <c r="H14" s="49">
        <f>F$9*$B14</f>
        <v>38.5044380773306</v>
      </c>
      <c r="I14" s="54">
        <f t="shared" si="1"/>
        <v>38.5044380773306</v>
      </c>
      <c r="J14" s="54">
        <f>IF(E14-I14&gt;0,0,ABS(E14-I14))</f>
        <v>0</v>
      </c>
      <c r="K14" s="45"/>
      <c r="L14" s="54"/>
      <c r="M14" s="54"/>
      <c r="N14" s="49"/>
      <c r="O14" s="54"/>
      <c r="P14" s="54"/>
      <c r="Q14" s="45"/>
      <c r="R14" s="54"/>
      <c r="S14" s="54"/>
      <c r="T14" s="54"/>
      <c r="U14" s="49"/>
      <c r="V14" s="54"/>
      <c r="W14" s="54"/>
      <c r="X14" s="54"/>
      <c r="Y14" s="54"/>
      <c r="Z14" s="54"/>
      <c r="AA14" s="49"/>
      <c r="AB14" s="54"/>
      <c r="AC14" s="54"/>
      <c r="AD14" s="54"/>
      <c r="AE14" s="54"/>
      <c r="AF14" s="54"/>
      <c r="AG14" s="49"/>
      <c r="AH14" s="54"/>
      <c r="AI14" s="54"/>
      <c r="AJ14" s="54"/>
      <c r="AK14" s="54"/>
      <c r="AL14" s="54"/>
      <c r="AM14" s="49"/>
      <c r="AN14" s="54"/>
      <c r="AO14" s="54"/>
      <c r="AP14" s="131"/>
      <c r="AQ14" s="54"/>
      <c r="AR14" s="54"/>
      <c r="AS14" s="49"/>
      <c r="AT14" s="54"/>
      <c r="AU14" s="54"/>
    </row>
    <row r="15" spans="1:47" s="112" customFormat="1" ht="15.75">
      <c r="A15" s="55" t="s">
        <v>22</v>
      </c>
      <c r="B15" s="51">
        <f>I45/$D$3</f>
        <v>0.4374335130479645</v>
      </c>
      <c r="C15" s="108">
        <f>7.97/12</f>
        <v>0.6641666666666667</v>
      </c>
      <c r="D15" s="324">
        <f>0.23/12</f>
        <v>0.01916666666666667</v>
      </c>
      <c r="E15" s="322">
        <v>131.51794529000003</v>
      </c>
      <c r="F15" s="54">
        <f t="shared" si="2"/>
        <v>0</v>
      </c>
      <c r="G15" s="54">
        <f t="shared" si="0"/>
        <v>0</v>
      </c>
      <c r="H15" s="49">
        <f aca="true" t="shared" si="3" ref="H15:H22">F$9*$B15</f>
        <v>82.22000311249542</v>
      </c>
      <c r="I15" s="54">
        <f t="shared" si="1"/>
        <v>82.22000311249542</v>
      </c>
      <c r="J15" s="54">
        <f aca="true" t="shared" si="4" ref="J15:J22">IF(E15-I15&gt;0,0,ABS(E15-I15))</f>
        <v>0</v>
      </c>
      <c r="K15" s="45"/>
      <c r="L15" s="54"/>
      <c r="M15" s="54"/>
      <c r="N15" s="49"/>
      <c r="O15" s="54"/>
      <c r="P15" s="54"/>
      <c r="Q15" s="45"/>
      <c r="R15" s="54"/>
      <c r="S15" s="54"/>
      <c r="T15" s="54"/>
      <c r="U15" s="49"/>
      <c r="V15" s="54"/>
      <c r="W15" s="54"/>
      <c r="X15" s="54"/>
      <c r="Y15" s="54"/>
      <c r="Z15" s="54"/>
      <c r="AA15" s="49"/>
      <c r="AB15" s="54"/>
      <c r="AC15" s="54"/>
      <c r="AD15" s="54"/>
      <c r="AE15" s="54"/>
      <c r="AF15" s="54"/>
      <c r="AG15" s="49"/>
      <c r="AH15" s="54"/>
      <c r="AI15" s="54"/>
      <c r="AJ15" s="54"/>
      <c r="AK15" s="54"/>
      <c r="AL15" s="54"/>
      <c r="AM15" s="49"/>
      <c r="AN15" s="54"/>
      <c r="AO15" s="54"/>
      <c r="AP15" s="131"/>
      <c r="AQ15" s="54"/>
      <c r="AR15" s="54"/>
      <c r="AS15" s="49"/>
      <c r="AT15" s="54"/>
      <c r="AU15" s="54"/>
    </row>
    <row r="16" spans="1:47" s="112" customFormat="1" ht="15.75">
      <c r="A16" s="55" t="s">
        <v>23</v>
      </c>
      <c r="B16" s="51">
        <f>J45/$D$3</f>
        <v>0.6869554465471556</v>
      </c>
      <c r="C16" s="108">
        <f>9.18/12</f>
        <v>0.765</v>
      </c>
      <c r="D16" s="324">
        <f>0.01/12</f>
        <v>0.0008333333333333334</v>
      </c>
      <c r="E16" s="322">
        <v>232.00605201593746</v>
      </c>
      <c r="F16" s="54">
        <f t="shared" si="2"/>
        <v>0</v>
      </c>
      <c r="G16" s="54">
        <f t="shared" si="0"/>
        <v>0</v>
      </c>
      <c r="H16" s="49">
        <f t="shared" si="3"/>
        <v>129.12014573300337</v>
      </c>
      <c r="I16" s="54">
        <f t="shared" si="1"/>
        <v>129.12014573300337</v>
      </c>
      <c r="J16" s="54">
        <f t="shared" si="4"/>
        <v>0</v>
      </c>
      <c r="K16" s="45"/>
      <c r="L16" s="54"/>
      <c r="M16" s="54"/>
      <c r="N16" s="49"/>
      <c r="O16" s="54"/>
      <c r="P16" s="54"/>
      <c r="Q16" s="45"/>
      <c r="R16" s="54"/>
      <c r="S16" s="54"/>
      <c r="T16" s="54"/>
      <c r="U16" s="49"/>
      <c r="V16" s="54"/>
      <c r="W16" s="54"/>
      <c r="X16" s="54"/>
      <c r="Y16" s="54"/>
      <c r="Z16" s="54"/>
      <c r="AA16" s="49"/>
      <c r="AB16" s="54"/>
      <c r="AC16" s="54"/>
      <c r="AD16" s="54"/>
      <c r="AE16" s="54"/>
      <c r="AF16" s="54"/>
      <c r="AG16" s="49"/>
      <c r="AH16" s="54"/>
      <c r="AI16" s="54"/>
      <c r="AJ16" s="54"/>
      <c r="AK16" s="54"/>
      <c r="AL16" s="54"/>
      <c r="AM16" s="49"/>
      <c r="AN16" s="54"/>
      <c r="AO16" s="54"/>
      <c r="AP16" s="131"/>
      <c r="AQ16" s="54"/>
      <c r="AR16" s="54"/>
      <c r="AS16" s="49"/>
      <c r="AT16" s="54"/>
      <c r="AU16" s="54"/>
    </row>
    <row r="17" spans="1:47" s="112" customFormat="1" ht="15.75">
      <c r="A17" s="55" t="s">
        <v>24</v>
      </c>
      <c r="B17" s="51">
        <f>K45/$D$3</f>
        <v>0.9487994508364302</v>
      </c>
      <c r="C17" s="108">
        <f>10.96/12</f>
        <v>0.9133333333333334</v>
      </c>
      <c r="D17" s="324">
        <f>0.37/12</f>
        <v>0.030833333333333334</v>
      </c>
      <c r="E17" s="322">
        <v>197.05210400718738</v>
      </c>
      <c r="F17" s="54">
        <f t="shared" si="2"/>
        <v>0</v>
      </c>
      <c r="G17" s="54">
        <f t="shared" si="0"/>
        <v>0</v>
      </c>
      <c r="H17" s="49">
        <f t="shared" si="3"/>
        <v>178.33634477921544</v>
      </c>
      <c r="I17" s="54">
        <f t="shared" si="1"/>
        <v>178.33634477921544</v>
      </c>
      <c r="J17" s="54">
        <f t="shared" si="4"/>
        <v>0</v>
      </c>
      <c r="K17" s="45"/>
      <c r="L17" s="54"/>
      <c r="M17" s="54"/>
      <c r="N17" s="49"/>
      <c r="O17" s="54"/>
      <c r="P17" s="54"/>
      <c r="Q17" s="45"/>
      <c r="R17" s="54"/>
      <c r="S17" s="54"/>
      <c r="T17" s="54"/>
      <c r="U17" s="49"/>
      <c r="V17" s="54"/>
      <c r="W17" s="54"/>
      <c r="X17" s="54"/>
      <c r="Y17" s="54"/>
      <c r="Z17" s="54"/>
      <c r="AA17" s="49"/>
      <c r="AB17" s="54"/>
      <c r="AC17" s="54"/>
      <c r="AD17" s="54"/>
      <c r="AE17" s="54"/>
      <c r="AF17" s="54"/>
      <c r="AG17" s="49"/>
      <c r="AH17" s="54"/>
      <c r="AI17" s="54"/>
      <c r="AJ17" s="54"/>
      <c r="AK17" s="54"/>
      <c r="AL17" s="54"/>
      <c r="AM17" s="49"/>
      <c r="AN17" s="54"/>
      <c r="AO17" s="54"/>
      <c r="AP17" s="131"/>
      <c r="AQ17" s="54"/>
      <c r="AR17" s="54"/>
      <c r="AS17" s="49"/>
      <c r="AT17" s="54"/>
      <c r="AU17" s="54"/>
    </row>
    <row r="18" spans="1:47" s="112" customFormat="1" ht="15.75">
      <c r="A18" s="55" t="s">
        <v>25</v>
      </c>
      <c r="B18" s="51">
        <f>L45/$D$3</f>
        <v>0.9010514265248564</v>
      </c>
      <c r="C18" s="108">
        <f>8.4/12</f>
        <v>0.7000000000000001</v>
      </c>
      <c r="D18" s="324">
        <f>2.22/12</f>
        <v>0.18500000000000003</v>
      </c>
      <c r="E18" s="322">
        <v>248.03768146672613</v>
      </c>
      <c r="F18" s="54">
        <f t="shared" si="2"/>
        <v>0</v>
      </c>
      <c r="G18" s="54">
        <f t="shared" si="0"/>
        <v>0</v>
      </c>
      <c r="H18" s="49">
        <f t="shared" si="3"/>
        <v>169.361626129612</v>
      </c>
      <c r="I18" s="54">
        <f t="shared" si="1"/>
        <v>169.361626129612</v>
      </c>
      <c r="J18" s="54">
        <f t="shared" si="4"/>
        <v>0</v>
      </c>
      <c r="K18" s="45"/>
      <c r="L18" s="54"/>
      <c r="M18" s="54"/>
      <c r="N18" s="49"/>
      <c r="O18" s="54"/>
      <c r="P18" s="54"/>
      <c r="Q18" s="45"/>
      <c r="R18" s="54"/>
      <c r="S18" s="54"/>
      <c r="T18" s="54"/>
      <c r="U18" s="49"/>
      <c r="V18" s="54"/>
      <c r="W18" s="54"/>
      <c r="X18" s="54"/>
      <c r="Y18" s="54"/>
      <c r="Z18" s="54"/>
      <c r="AA18" s="49"/>
      <c r="AB18" s="54"/>
      <c r="AC18" s="54"/>
      <c r="AD18" s="54"/>
      <c r="AE18" s="54"/>
      <c r="AF18" s="54"/>
      <c r="AG18" s="49"/>
      <c r="AH18" s="54"/>
      <c r="AI18" s="54"/>
      <c r="AJ18" s="54"/>
      <c r="AK18" s="54"/>
      <c r="AL18" s="54"/>
      <c r="AM18" s="49"/>
      <c r="AN18" s="54"/>
      <c r="AO18" s="54"/>
      <c r="AP18" s="131"/>
      <c r="AQ18" s="54"/>
      <c r="AR18" s="54"/>
      <c r="AS18" s="49"/>
      <c r="AT18" s="54"/>
      <c r="AU18" s="54"/>
    </row>
    <row r="19" spans="1:47" s="112" customFormat="1" ht="15.75">
      <c r="A19" s="55" t="s">
        <v>26</v>
      </c>
      <c r="B19" s="51">
        <f>M45/$D$3</f>
        <v>0.5637347386463205</v>
      </c>
      <c r="C19" s="108">
        <f>6.98/12</f>
        <v>0.5816666666666667</v>
      </c>
      <c r="D19" s="324">
        <f>3.62/12</f>
        <v>0.3016666666666667</v>
      </c>
      <c r="E19" s="322">
        <v>0.33514444656249986</v>
      </c>
      <c r="F19" s="54">
        <f t="shared" si="2"/>
        <v>0</v>
      </c>
      <c r="G19" s="54">
        <f t="shared" si="0"/>
        <v>0</v>
      </c>
      <c r="H19" s="49">
        <f t="shared" si="3"/>
        <v>105.95958147596241</v>
      </c>
      <c r="I19" s="54">
        <f t="shared" si="1"/>
        <v>105.95958147596241</v>
      </c>
      <c r="J19" s="54">
        <f t="shared" si="4"/>
        <v>105.62443702939991</v>
      </c>
      <c r="K19" s="45"/>
      <c r="L19" s="54"/>
      <c r="M19" s="54"/>
      <c r="N19" s="49"/>
      <c r="O19" s="54"/>
      <c r="P19" s="54"/>
      <c r="Q19" s="45"/>
      <c r="R19" s="54"/>
      <c r="S19" s="54"/>
      <c r="T19" s="54"/>
      <c r="U19" s="49"/>
      <c r="V19" s="54"/>
      <c r="W19" s="54"/>
      <c r="X19" s="54"/>
      <c r="Y19" s="54"/>
      <c r="Z19" s="54"/>
      <c r="AA19" s="49"/>
      <c r="AB19" s="54"/>
      <c r="AC19" s="54"/>
      <c r="AD19" s="54"/>
      <c r="AE19" s="54"/>
      <c r="AF19" s="54"/>
      <c r="AG19" s="49"/>
      <c r="AH19" s="54"/>
      <c r="AI19" s="54"/>
      <c r="AJ19" s="54"/>
      <c r="AK19" s="54"/>
      <c r="AL19" s="54"/>
      <c r="AM19" s="49"/>
      <c r="AN19" s="54"/>
      <c r="AO19" s="54"/>
      <c r="AP19" s="131"/>
      <c r="AQ19" s="54"/>
      <c r="AR19" s="54"/>
      <c r="AS19" s="49"/>
      <c r="AT19" s="54"/>
      <c r="AU19" s="54"/>
    </row>
    <row r="20" spans="1:47" s="112" customFormat="1" ht="15.75">
      <c r="A20" s="55" t="s">
        <v>27</v>
      </c>
      <c r="B20" s="51">
        <f>N45/$D$3</f>
        <v>0.47131920772069424</v>
      </c>
      <c r="C20" s="108">
        <f>6.19/12</f>
        <v>0.5158333333333334</v>
      </c>
      <c r="D20" s="324">
        <f>2.62/12</f>
        <v>0.21833333333333335</v>
      </c>
      <c r="E20" s="322">
        <v>82.73001717135415</v>
      </c>
      <c r="F20" s="54">
        <f t="shared" si="2"/>
        <v>0</v>
      </c>
      <c r="G20" s="54">
        <f t="shared" si="0"/>
        <v>0</v>
      </c>
      <c r="H20" s="49">
        <f t="shared" si="3"/>
        <v>88.58915828318169</v>
      </c>
      <c r="I20" s="54">
        <f t="shared" si="1"/>
        <v>88.58915828318169</v>
      </c>
      <c r="J20" s="54">
        <f t="shared" si="4"/>
        <v>5.85914111182754</v>
      </c>
      <c r="K20" s="45"/>
      <c r="L20" s="54"/>
      <c r="M20" s="54"/>
      <c r="N20" s="49"/>
      <c r="O20" s="54"/>
      <c r="P20" s="54"/>
      <c r="Q20" s="45"/>
      <c r="R20" s="54"/>
      <c r="S20" s="54"/>
      <c r="T20" s="54"/>
      <c r="U20" s="49"/>
      <c r="V20" s="54"/>
      <c r="W20" s="54"/>
      <c r="X20" s="54"/>
      <c r="Y20" s="54"/>
      <c r="Z20" s="54"/>
      <c r="AA20" s="49"/>
      <c r="AB20" s="54"/>
      <c r="AC20" s="54"/>
      <c r="AD20" s="54"/>
      <c r="AE20" s="54"/>
      <c r="AF20" s="54"/>
      <c r="AG20" s="49"/>
      <c r="AH20" s="54"/>
      <c r="AI20" s="54"/>
      <c r="AJ20" s="54"/>
      <c r="AK20" s="54"/>
      <c r="AL20" s="54"/>
      <c r="AM20" s="49"/>
      <c r="AN20" s="54"/>
      <c r="AO20" s="54"/>
      <c r="AP20" s="131"/>
      <c r="AQ20" s="54"/>
      <c r="AR20" s="54"/>
      <c r="AS20" s="49"/>
      <c r="AT20" s="54"/>
      <c r="AU20" s="54"/>
    </row>
    <row r="21" spans="1:47" s="112" customFormat="1" ht="15.75">
      <c r="A21" s="55" t="s">
        <v>28</v>
      </c>
      <c r="B21" s="51">
        <f>O45/$D$3</f>
        <v>0.36658160600498435</v>
      </c>
      <c r="C21" s="108">
        <f>5.2/12</f>
        <v>0.43333333333333335</v>
      </c>
      <c r="D21" s="324">
        <f>0.85/12</f>
        <v>0.07083333333333333</v>
      </c>
      <c r="E21" s="322">
        <v>158.07648462312505</v>
      </c>
      <c r="F21" s="54">
        <f t="shared" si="2"/>
        <v>0</v>
      </c>
      <c r="G21" s="54">
        <f t="shared" si="0"/>
        <v>0</v>
      </c>
      <c r="H21" s="49">
        <f t="shared" si="3"/>
        <v>68.90267866469686</v>
      </c>
      <c r="I21" s="54">
        <f t="shared" si="1"/>
        <v>68.90267866469686</v>
      </c>
      <c r="J21" s="54">
        <f t="shared" si="4"/>
        <v>0</v>
      </c>
      <c r="K21" s="45"/>
      <c r="L21" s="54"/>
      <c r="M21" s="54"/>
      <c r="N21" s="49"/>
      <c r="O21" s="54"/>
      <c r="P21" s="54"/>
      <c r="Q21" s="45"/>
      <c r="R21" s="54"/>
      <c r="S21" s="54"/>
      <c r="T21" s="54"/>
      <c r="U21" s="49"/>
      <c r="V21" s="54"/>
      <c r="W21" s="54"/>
      <c r="X21" s="54"/>
      <c r="Y21" s="54"/>
      <c r="Z21" s="54"/>
      <c r="AA21" s="49"/>
      <c r="AB21" s="54"/>
      <c r="AC21" s="54"/>
      <c r="AD21" s="54"/>
      <c r="AE21" s="54"/>
      <c r="AF21" s="54"/>
      <c r="AG21" s="49"/>
      <c r="AH21" s="54"/>
      <c r="AI21" s="54"/>
      <c r="AJ21" s="54"/>
      <c r="AK21" s="54"/>
      <c r="AL21" s="54"/>
      <c r="AM21" s="49"/>
      <c r="AN21" s="54"/>
      <c r="AO21" s="54"/>
      <c r="AP21" s="131"/>
      <c r="AQ21" s="54"/>
      <c r="AR21" s="54"/>
      <c r="AS21" s="49"/>
      <c r="AT21" s="54"/>
      <c r="AU21" s="54"/>
    </row>
    <row r="22" spans="1:47" s="112" customFormat="1" ht="15.75">
      <c r="A22" s="55" t="s">
        <v>29</v>
      </c>
      <c r="B22" s="51">
        <f>P45/$D$3</f>
        <v>0.13554277869091858</v>
      </c>
      <c r="C22" s="108">
        <f>2.71/12</f>
        <v>0.22583333333333333</v>
      </c>
      <c r="D22" s="324">
        <f>0.55/12</f>
        <v>0.04583333333333334</v>
      </c>
      <c r="E22" s="307">
        <v>12.401646174999991</v>
      </c>
      <c r="F22" s="54">
        <f t="shared" si="2"/>
        <v>0</v>
      </c>
      <c r="G22" s="54">
        <f t="shared" si="0"/>
        <v>0</v>
      </c>
      <c r="H22" s="49">
        <f t="shared" si="3"/>
        <v>25.476620682745057</v>
      </c>
      <c r="I22" s="54">
        <f t="shared" si="1"/>
        <v>25.476620682745057</v>
      </c>
      <c r="J22" s="54">
        <f t="shared" si="4"/>
        <v>13.074974507745067</v>
      </c>
      <c r="K22" s="45"/>
      <c r="L22" s="54"/>
      <c r="M22" s="54"/>
      <c r="N22" s="49"/>
      <c r="O22" s="54"/>
      <c r="P22" s="54"/>
      <c r="Q22" s="45"/>
      <c r="R22" s="54"/>
      <c r="S22" s="54"/>
      <c r="T22" s="54"/>
      <c r="U22" s="49"/>
      <c r="V22" s="54"/>
      <c r="W22" s="54"/>
      <c r="X22" s="54"/>
      <c r="Y22" s="54"/>
      <c r="Z22" s="54"/>
      <c r="AA22" s="49"/>
      <c r="AB22" s="54"/>
      <c r="AC22" s="54"/>
      <c r="AD22" s="54"/>
      <c r="AE22" s="54"/>
      <c r="AF22" s="54"/>
      <c r="AG22" s="49"/>
      <c r="AH22" s="54"/>
      <c r="AI22" s="54"/>
      <c r="AJ22" s="54"/>
      <c r="AK22" s="54"/>
      <c r="AL22" s="54"/>
      <c r="AM22" s="49"/>
      <c r="AN22" s="54"/>
      <c r="AO22" s="54"/>
      <c r="AP22" s="131"/>
      <c r="AQ22" s="54"/>
      <c r="AR22" s="54"/>
      <c r="AS22" s="49"/>
      <c r="AT22" s="54"/>
      <c r="AU22" s="54"/>
    </row>
    <row r="23" spans="1:47" s="112" customFormat="1" ht="15.75">
      <c r="A23" s="55" t="s">
        <v>211</v>
      </c>
      <c r="B23" s="54">
        <f>Q45/$D$3</f>
        <v>0.03696621237025052</v>
      </c>
      <c r="C23" s="179">
        <f>2.21/12</f>
        <v>0.18416666666666667</v>
      </c>
      <c r="D23" s="339">
        <f>0.76/12</f>
        <v>0.06333333333333334</v>
      </c>
      <c r="E23" s="334">
        <v>2.43026371637931</v>
      </c>
      <c r="F23" s="54">
        <f>$F$7*(IF($C23-$D23&lt;0,0,ABS($C23-$D23)))</f>
        <v>0</v>
      </c>
      <c r="G23" s="54">
        <f t="shared" si="0"/>
        <v>0</v>
      </c>
      <c r="H23" s="49">
        <f>F$9*$B23</f>
        <v>6.948169277112289</v>
      </c>
      <c r="I23" s="54">
        <f>G23+H23</f>
        <v>6.948169277112289</v>
      </c>
      <c r="J23" s="338">
        <v>0</v>
      </c>
      <c r="L23" s="54"/>
      <c r="M23" s="54"/>
      <c r="N23" s="49"/>
      <c r="O23" s="54"/>
      <c r="P23" s="54"/>
      <c r="R23" s="54"/>
      <c r="S23" s="54"/>
      <c r="T23" s="54"/>
      <c r="U23" s="49"/>
      <c r="V23" s="54"/>
      <c r="W23" s="54"/>
      <c r="Y23" s="54"/>
      <c r="Z23" s="54"/>
      <c r="AA23" s="49"/>
      <c r="AB23" s="54"/>
      <c r="AC23" s="54"/>
      <c r="AE23" s="54"/>
      <c r="AF23" s="54"/>
      <c r="AG23" s="49"/>
      <c r="AH23" s="54"/>
      <c r="AI23" s="54"/>
      <c r="AK23" s="54"/>
      <c r="AL23" s="54"/>
      <c r="AM23" s="121"/>
      <c r="AN23" s="54"/>
      <c r="AO23" s="54"/>
      <c r="AQ23" s="54"/>
      <c r="AR23" s="54"/>
      <c r="AS23" s="121"/>
      <c r="AT23" s="54"/>
      <c r="AU23" s="54"/>
    </row>
    <row r="24" spans="1:47" s="120" customFormat="1" ht="15.75">
      <c r="A24" s="53" t="s">
        <v>34</v>
      </c>
      <c r="B24" s="53">
        <f aca="true" t="shared" si="5" ref="B24:J24">SUM(B12:B23)</f>
        <v>4.914965986394559</v>
      </c>
      <c r="C24" s="53">
        <f t="shared" si="5"/>
        <v>5.920833333333334</v>
      </c>
      <c r="D24" s="53">
        <f t="shared" si="5"/>
        <v>1.0075</v>
      </c>
      <c r="E24" s="53">
        <f t="shared" si="5"/>
        <v>1130.9107740614386</v>
      </c>
      <c r="F24" s="53">
        <f t="shared" si="5"/>
        <v>0</v>
      </c>
      <c r="G24" s="53">
        <f t="shared" si="5"/>
        <v>0</v>
      </c>
      <c r="H24" s="53">
        <f t="shared" si="5"/>
        <v>923.8170068027213</v>
      </c>
      <c r="I24" s="53">
        <f t="shared" si="5"/>
        <v>923.8170068027213</v>
      </c>
      <c r="J24" s="53">
        <f t="shared" si="5"/>
        <v>124.55855264897252</v>
      </c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</row>
    <row r="25" spans="1:30" s="112" customFormat="1" ht="15.75">
      <c r="A25" s="247" t="s">
        <v>353</v>
      </c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T25" s="325" t="s">
        <v>345</v>
      </c>
      <c r="U25" s="288"/>
      <c r="V25" s="288"/>
      <c r="W25" s="49"/>
      <c r="X25" s="49"/>
      <c r="AC25" s="49"/>
      <c r="AD25" s="49"/>
    </row>
    <row r="26" spans="1:53" s="148" customFormat="1" ht="18">
      <c r="A26" s="141" t="s">
        <v>35</v>
      </c>
      <c r="B26" s="142"/>
      <c r="C26" s="146"/>
      <c r="D26" s="147"/>
      <c r="E26" s="147"/>
      <c r="F26" s="382" t="s">
        <v>120</v>
      </c>
      <c r="G26" s="383"/>
      <c r="H26" s="383"/>
      <c r="I26" s="383"/>
      <c r="J26" s="383"/>
      <c r="K26" s="383"/>
      <c r="L26" s="384" t="s">
        <v>313</v>
      </c>
      <c r="M26" s="383"/>
      <c r="N26" s="383"/>
      <c r="O26" s="383"/>
      <c r="P26" s="383"/>
      <c r="Q26" s="403" t="s">
        <v>334</v>
      </c>
      <c r="R26" s="404"/>
      <c r="S26" s="271"/>
      <c r="T26" s="270" t="s">
        <v>327</v>
      </c>
      <c r="U26" s="270"/>
      <c r="V26" s="385" t="s">
        <v>73</v>
      </c>
      <c r="W26" s="385"/>
      <c r="X26" s="385"/>
      <c r="Y26" s="385"/>
      <c r="Z26" s="385"/>
      <c r="AA26" s="405"/>
      <c r="AB26" s="235"/>
      <c r="AC26" s="235"/>
      <c r="AD26" s="235"/>
      <c r="AE26" s="235"/>
      <c r="AF26" s="235"/>
      <c r="AG26" s="235"/>
      <c r="AH26" s="232"/>
      <c r="AI26" s="235"/>
      <c r="AJ26" s="235"/>
      <c r="AK26" s="235"/>
      <c r="AL26" s="236"/>
      <c r="AM26" s="236"/>
      <c r="AN26" s="236"/>
      <c r="AO26" s="236"/>
      <c r="AP26" s="236"/>
      <c r="AQ26" s="236"/>
      <c r="AR26" s="236"/>
      <c r="AS26" s="236"/>
      <c r="AT26" s="236"/>
      <c r="AU26" s="236"/>
      <c r="AV26" s="237"/>
      <c r="AW26" s="237"/>
      <c r="AX26" s="237"/>
      <c r="AY26" s="237"/>
      <c r="AZ26" s="237"/>
      <c r="BA26" s="237"/>
    </row>
    <row r="27" spans="1:39" s="140" customFormat="1" ht="72.75" customHeight="1">
      <c r="A27" s="129"/>
      <c r="B27" s="129"/>
      <c r="C27" s="149" t="s">
        <v>8</v>
      </c>
      <c r="D27" s="149" t="s">
        <v>9</v>
      </c>
      <c r="E27" s="150"/>
      <c r="F27" s="116" t="s">
        <v>207</v>
      </c>
      <c r="G27" s="126" t="s">
        <v>0</v>
      </c>
      <c r="H27" s="116" t="s">
        <v>2</v>
      </c>
      <c r="I27" s="116" t="s">
        <v>3</v>
      </c>
      <c r="J27" s="116" t="s">
        <v>298</v>
      </c>
      <c r="K27" s="116" t="s">
        <v>299</v>
      </c>
      <c r="L27" s="254" t="s">
        <v>209</v>
      </c>
      <c r="M27" s="255" t="s">
        <v>0</v>
      </c>
      <c r="N27" s="254" t="s">
        <v>299</v>
      </c>
      <c r="O27" s="276" t="s">
        <v>208</v>
      </c>
      <c r="P27" s="277" t="s">
        <v>0</v>
      </c>
      <c r="Q27" s="257" t="s">
        <v>341</v>
      </c>
      <c r="R27" s="258" t="s">
        <v>0</v>
      </c>
      <c r="S27" s="262" t="s">
        <v>309</v>
      </c>
      <c r="T27" s="263" t="s">
        <v>311</v>
      </c>
      <c r="U27" s="263" t="s">
        <v>312</v>
      </c>
      <c r="V27" s="126" t="s">
        <v>122</v>
      </c>
      <c r="W27" s="116" t="s">
        <v>1</v>
      </c>
      <c r="X27" s="116" t="s">
        <v>4</v>
      </c>
      <c r="Y27" s="126" t="s">
        <v>300</v>
      </c>
      <c r="Z27" s="126" t="s">
        <v>123</v>
      </c>
      <c r="AA27" s="126" t="s">
        <v>301</v>
      </c>
      <c r="AB27" s="116"/>
      <c r="AC27" s="116"/>
      <c r="AD27" s="126"/>
      <c r="AE27" s="126"/>
      <c r="AF27" s="126"/>
      <c r="AH27" s="83"/>
      <c r="AI27" s="4"/>
      <c r="AJ27" s="37"/>
      <c r="AK27" s="4"/>
      <c r="AL27" s="42"/>
      <c r="AM27" s="45"/>
    </row>
    <row r="28" spans="1:40" ht="15.75">
      <c r="A28" s="110" t="s">
        <v>242</v>
      </c>
      <c r="B28" s="49"/>
      <c r="C28" s="51">
        <f>B24*D3</f>
        <v>2.167500000000001</v>
      </c>
      <c r="E28" s="54"/>
      <c r="F28" s="54">
        <f>($F9+$L9+$R9+$Y9+$AE9+$AK9)-F29</f>
        <v>187.96</v>
      </c>
      <c r="G28" s="54">
        <f>F28*$C28</f>
        <v>407.4033000000002</v>
      </c>
      <c r="H28" s="112">
        <f>H24+N24+U24+AA24+AG24+AM24</f>
        <v>923.8170068027213</v>
      </c>
      <c r="I28" s="112"/>
      <c r="J28" s="49"/>
      <c r="K28" s="49">
        <f>G28*J31</f>
        <v>54.9303217181969</v>
      </c>
      <c r="L28" s="342">
        <v>24.7</v>
      </c>
      <c r="M28" s="256">
        <f>L28*$C28</f>
        <v>53.53725000000002</v>
      </c>
      <c r="N28" s="137">
        <f>J31*M28</f>
        <v>7.218445128960754</v>
      </c>
      <c r="O28" s="343">
        <v>0</v>
      </c>
      <c r="P28" s="279">
        <f>O28*$C28</f>
        <v>0</v>
      </c>
      <c r="Q28" s="345">
        <v>0</v>
      </c>
      <c r="R28" s="260">
        <f>Q28*$C28</f>
        <v>0</v>
      </c>
      <c r="S28" s="347">
        <v>0</v>
      </c>
      <c r="T28" s="328">
        <v>0</v>
      </c>
      <c r="U28" s="247">
        <f>T28</f>
        <v>0</v>
      </c>
      <c r="V28" s="112">
        <f>F28+L28+O28+Q28+S28</f>
        <v>212.66</v>
      </c>
      <c r="W28" s="49">
        <f>G28+M28+P28+R28+U28</f>
        <v>460.9405500000002</v>
      </c>
      <c r="X28" s="49">
        <f>N28+K28</f>
        <v>62.14876684715765</v>
      </c>
      <c r="Y28" s="49">
        <f>W28-X28</f>
        <v>398.7917831528425</v>
      </c>
      <c r="Z28" s="49"/>
      <c r="AA28" s="49"/>
      <c r="AB28" s="46"/>
      <c r="AC28" s="49"/>
      <c r="AD28" s="49"/>
      <c r="AE28" s="49"/>
      <c r="AF28" s="49"/>
      <c r="AH28" s="49"/>
      <c r="AI28" s="114"/>
      <c r="AJ28" s="114"/>
      <c r="AN28" s="49"/>
    </row>
    <row r="29" spans="1:40" ht="15.75">
      <c r="A29" s="110" t="s">
        <v>243</v>
      </c>
      <c r="B29" s="49"/>
      <c r="C29" s="112"/>
      <c r="D29" s="54"/>
      <c r="E29" s="54"/>
      <c r="F29" s="54"/>
      <c r="G29" s="54"/>
      <c r="H29" s="112"/>
      <c r="I29" s="112"/>
      <c r="J29" s="49"/>
      <c r="K29" s="49"/>
      <c r="L29" s="256">
        <v>0</v>
      </c>
      <c r="M29" s="256"/>
      <c r="N29" s="137"/>
      <c r="O29" s="278">
        <v>0</v>
      </c>
      <c r="P29" s="279"/>
      <c r="Q29" s="259">
        <v>0</v>
      </c>
      <c r="R29" s="260"/>
      <c r="S29" s="251"/>
      <c r="T29" s="247"/>
      <c r="U29" s="247"/>
      <c r="V29" s="112"/>
      <c r="W29" s="49"/>
      <c r="X29" s="49"/>
      <c r="Y29" s="49"/>
      <c r="Z29" s="49"/>
      <c r="AA29" s="49"/>
      <c r="AB29" s="46"/>
      <c r="AC29" s="49"/>
      <c r="AD29" s="49"/>
      <c r="AE29" s="49"/>
      <c r="AF29" s="49"/>
      <c r="AH29" s="49"/>
      <c r="AI29" s="45"/>
      <c r="AJ29" s="4"/>
      <c r="AK29" s="45"/>
      <c r="AL29" s="45"/>
      <c r="AM29" s="45"/>
      <c r="AN29" s="49"/>
    </row>
    <row r="30" spans="1:40" s="45" customFormat="1" ht="15.75">
      <c r="A30" s="45" t="s">
        <v>50</v>
      </c>
      <c r="E30" s="51"/>
      <c r="F30" s="54">
        <f>F7+L7+R7+Y7+AE7+AK7</f>
        <v>0</v>
      </c>
      <c r="G30" s="54">
        <f>F30*($C24-$D24)</f>
        <v>0</v>
      </c>
      <c r="H30" s="112">
        <f>G24+M24+S24+Z24+AF24+AL24</f>
        <v>0</v>
      </c>
      <c r="J30" s="49"/>
      <c r="K30" s="49">
        <f>G30*J31</f>
        <v>0</v>
      </c>
      <c r="L30" s="342">
        <v>0</v>
      </c>
      <c r="M30" s="256">
        <f>L30*($C24-$D24)</f>
        <v>0</v>
      </c>
      <c r="N30" s="256">
        <f>J31*M30</f>
        <v>0</v>
      </c>
      <c r="O30" s="344">
        <v>0</v>
      </c>
      <c r="P30" s="279">
        <f>O30*($C24-$D24)</f>
        <v>0</v>
      </c>
      <c r="Q30" s="346">
        <v>0</v>
      </c>
      <c r="R30" s="260">
        <f>Q30*($C24-$D24)</f>
        <v>0</v>
      </c>
      <c r="S30" s="251">
        <f>Q6+X6+AD6+AJ6+AP6+AV6</f>
        <v>0</v>
      </c>
      <c r="T30" s="247">
        <f>R23+Y23+AE23+AK23+AQ23+AW23</f>
        <v>0</v>
      </c>
      <c r="U30" s="246"/>
      <c r="V30" s="112">
        <f>F30+L30+Q30</f>
        <v>0</v>
      </c>
      <c r="W30" s="49">
        <f>G30+M30+R30</f>
        <v>0</v>
      </c>
      <c r="X30" s="49">
        <f>N30+K30</f>
        <v>0</v>
      </c>
      <c r="Y30" s="49">
        <f>W30-X30</f>
        <v>0</v>
      </c>
      <c r="Z30" s="42"/>
      <c r="AB30" s="46"/>
      <c r="AC30" s="49"/>
      <c r="AD30" s="49"/>
      <c r="AE30" s="42"/>
      <c r="AJ30" s="4"/>
      <c r="AK30" s="51"/>
      <c r="AN30" s="49"/>
    </row>
    <row r="31" spans="1:40" ht="15.75">
      <c r="A31" s="64" t="s">
        <v>73</v>
      </c>
      <c r="B31" s="49"/>
      <c r="D31" s="54"/>
      <c r="E31" s="54"/>
      <c r="F31" s="54">
        <f>SUM(F28:F30)</f>
        <v>187.96</v>
      </c>
      <c r="G31" s="54">
        <f>SUM(G28:G30)</f>
        <v>407.4033000000002</v>
      </c>
      <c r="H31" s="54">
        <f>SUM(H28:H30)</f>
        <v>923.8170068027213</v>
      </c>
      <c r="I31" s="112">
        <f>J24+AC24</f>
        <v>124.55855264897252</v>
      </c>
      <c r="J31" s="53">
        <f>I31/H31</f>
        <v>0.13483033082500037</v>
      </c>
      <c r="K31" s="54">
        <f>J31*G31</f>
        <v>54.9303217181969</v>
      </c>
      <c r="L31" s="256">
        <f aca="true" t="shared" si="6" ref="L31:Y31">SUM(L28:L30)</f>
        <v>24.7</v>
      </c>
      <c r="M31" s="256">
        <f t="shared" si="6"/>
        <v>53.53725000000002</v>
      </c>
      <c r="N31" s="256">
        <f t="shared" si="6"/>
        <v>7.218445128960754</v>
      </c>
      <c r="O31" s="279">
        <f t="shared" si="6"/>
        <v>0</v>
      </c>
      <c r="P31" s="279">
        <f t="shared" si="6"/>
        <v>0</v>
      </c>
      <c r="Q31" s="260">
        <f t="shared" si="6"/>
        <v>0</v>
      </c>
      <c r="R31" s="260">
        <f t="shared" si="6"/>
        <v>0</v>
      </c>
      <c r="S31" s="251">
        <f t="shared" si="6"/>
        <v>0</v>
      </c>
      <c r="T31" s="251">
        <f t="shared" si="6"/>
        <v>0</v>
      </c>
      <c r="U31" s="251">
        <f t="shared" si="6"/>
        <v>0</v>
      </c>
      <c r="V31" s="112">
        <f t="shared" si="6"/>
        <v>212.66</v>
      </c>
      <c r="W31" s="49">
        <f t="shared" si="6"/>
        <v>460.9405500000002</v>
      </c>
      <c r="X31" s="49">
        <f t="shared" si="6"/>
        <v>62.14876684715765</v>
      </c>
      <c r="Y31" s="49">
        <f t="shared" si="6"/>
        <v>398.7917831528425</v>
      </c>
      <c r="Z31" s="54">
        <f>(Y31-R31-U31)*0.1+((P31+R31)*0.02)</f>
        <v>39.87917831528426</v>
      </c>
      <c r="AA31" s="49">
        <f>Z31+Y31</f>
        <v>438.6709614681268</v>
      </c>
      <c r="AB31" s="46"/>
      <c r="AC31" s="46"/>
      <c r="AD31" s="46"/>
      <c r="AE31" s="50"/>
      <c r="AF31" s="46"/>
      <c r="AH31" s="49"/>
      <c r="AI31" s="45"/>
      <c r="AJ31" s="4"/>
      <c r="AK31" s="54"/>
      <c r="AL31" s="45"/>
      <c r="AM31" s="37"/>
      <c r="AN31" s="49"/>
    </row>
    <row r="32" spans="1:39" ht="15.75">
      <c r="A32" s="49"/>
      <c r="B32" s="49"/>
      <c r="C32" s="112"/>
      <c r="D32" s="54"/>
      <c r="E32" s="54"/>
      <c r="F32" s="54"/>
      <c r="G32" s="54"/>
      <c r="H32" s="112"/>
      <c r="I32" s="112"/>
      <c r="J32" s="54"/>
      <c r="K32" s="54"/>
      <c r="L32" s="112"/>
      <c r="M32" s="54"/>
      <c r="N32" s="54"/>
      <c r="O32" s="49"/>
      <c r="P32" s="54"/>
      <c r="Q32" s="54"/>
      <c r="R32" s="54"/>
      <c r="S32" s="112"/>
      <c r="T32" s="112"/>
      <c r="U32" s="112"/>
      <c r="V32" s="49"/>
      <c r="W32" s="49"/>
      <c r="X32" s="49"/>
      <c r="Y32" s="46"/>
      <c r="Z32" s="49"/>
      <c r="AA32" s="49"/>
      <c r="AB32" s="49"/>
      <c r="AG32" s="49"/>
      <c r="AH32" s="49"/>
      <c r="AM32" s="45"/>
    </row>
    <row r="33" spans="1:39" ht="15.75">
      <c r="A33" s="285" t="s">
        <v>124</v>
      </c>
      <c r="B33" s="285"/>
      <c r="C33" s="285"/>
      <c r="D33" s="286"/>
      <c r="E33" s="286"/>
      <c r="F33" s="286"/>
      <c r="G33" s="286"/>
      <c r="H33" s="112"/>
      <c r="I33" s="112"/>
      <c r="J33" s="54"/>
      <c r="K33" s="54"/>
      <c r="L33" s="406" t="s">
        <v>346</v>
      </c>
      <c r="M33" s="407"/>
      <c r="N33" s="407"/>
      <c r="O33" s="407"/>
      <c r="P33" s="407"/>
      <c r="Q33" s="407"/>
      <c r="R33" s="407"/>
      <c r="S33" s="407"/>
      <c r="T33" s="407"/>
      <c r="U33" s="407"/>
      <c r="V33" s="407"/>
      <c r="W33" s="407"/>
      <c r="X33" s="407"/>
      <c r="Y33" s="407"/>
      <c r="Z33" s="407"/>
      <c r="AA33" s="407"/>
      <c r="AH33" s="49"/>
      <c r="AM33" s="94"/>
    </row>
    <row r="34" spans="1:28" s="36" customFormat="1" ht="15.75">
      <c r="A34" s="282" t="s">
        <v>350</v>
      </c>
      <c r="B34" s="283"/>
      <c r="C34" s="283"/>
      <c r="D34" s="284"/>
      <c r="E34" s="284"/>
      <c r="F34" s="37"/>
      <c r="G34" s="37"/>
      <c r="H34" s="261" t="s">
        <v>360</v>
      </c>
      <c r="I34" s="261"/>
      <c r="J34" s="260"/>
      <c r="L34" s="407"/>
      <c r="M34" s="407"/>
      <c r="N34" s="407"/>
      <c r="O34" s="407"/>
      <c r="P34" s="407"/>
      <c r="Q34" s="407"/>
      <c r="R34" s="407"/>
      <c r="S34" s="407"/>
      <c r="T34" s="407"/>
      <c r="U34" s="407"/>
      <c r="V34" s="407"/>
      <c r="W34" s="407"/>
      <c r="X34" s="407"/>
      <c r="Y34" s="407"/>
      <c r="Z34" s="407"/>
      <c r="AA34" s="407"/>
      <c r="AB34" s="45"/>
    </row>
    <row r="35" spans="1:34" s="139" customFormat="1" ht="15.75">
      <c r="A35" s="143" t="s">
        <v>198</v>
      </c>
      <c r="B35" s="143"/>
      <c r="D35" s="136"/>
      <c r="E35" s="136"/>
      <c r="F35" s="136"/>
      <c r="G35" s="144"/>
      <c r="H35" s="136"/>
      <c r="I35" s="136"/>
      <c r="J35" s="136"/>
      <c r="K35" s="136"/>
      <c r="L35" s="136"/>
      <c r="M35" s="144"/>
      <c r="N35" s="136"/>
      <c r="O35" s="136"/>
      <c r="P35" s="136"/>
      <c r="Q35" s="136"/>
      <c r="R35" s="136"/>
      <c r="S35" s="144"/>
      <c r="T35" s="144"/>
      <c r="U35" s="136"/>
      <c r="V35" s="136"/>
      <c r="W35" s="137"/>
      <c r="X35" s="137"/>
      <c r="Y35" s="137"/>
      <c r="Z35" s="138"/>
      <c r="AA35" s="137"/>
      <c r="AB35" s="137"/>
      <c r="AG35" s="137"/>
      <c r="AH35" s="137"/>
    </row>
    <row r="36" spans="1:34" ht="15.75">
      <c r="A36" s="46"/>
      <c r="B36" s="46"/>
      <c r="C36" s="46"/>
      <c r="F36" s="53" t="s">
        <v>89</v>
      </c>
      <c r="G36" s="53" t="s">
        <v>90</v>
      </c>
      <c r="H36" s="53" t="s">
        <v>91</v>
      </c>
      <c r="I36" s="53" t="s">
        <v>92</v>
      </c>
      <c r="J36" s="53" t="s">
        <v>23</v>
      </c>
      <c r="K36" s="53" t="s">
        <v>93</v>
      </c>
      <c r="L36" s="53" t="s">
        <v>94</v>
      </c>
      <c r="M36" s="53" t="s">
        <v>95</v>
      </c>
      <c r="N36" s="53" t="s">
        <v>96</v>
      </c>
      <c r="O36" s="53" t="s">
        <v>97</v>
      </c>
      <c r="P36" s="53" t="s">
        <v>98</v>
      </c>
      <c r="Q36" s="53" t="s">
        <v>99</v>
      </c>
      <c r="R36" s="53" t="s">
        <v>73</v>
      </c>
      <c r="U36" s="4" t="s">
        <v>14</v>
      </c>
      <c r="V36" s="45"/>
      <c r="W36" s="4"/>
      <c r="X36" s="42"/>
      <c r="AG36" s="49"/>
      <c r="AH36" s="49"/>
    </row>
    <row r="37" spans="1:34" ht="15.75">
      <c r="A37" s="41"/>
      <c r="B37" s="46"/>
      <c r="C37" s="46"/>
      <c r="F37" s="53"/>
      <c r="G37" s="50"/>
      <c r="H37" s="50"/>
      <c r="I37" s="53"/>
      <c r="J37" s="50"/>
      <c r="K37" s="50"/>
      <c r="L37" s="50"/>
      <c r="M37" s="50"/>
      <c r="N37" s="53"/>
      <c r="O37" s="50"/>
      <c r="P37" s="53"/>
      <c r="Q37" s="50"/>
      <c r="R37" s="53"/>
      <c r="U37" s="4" t="s">
        <v>81</v>
      </c>
      <c r="V37" s="94"/>
      <c r="W37" s="45"/>
      <c r="X37" s="35"/>
      <c r="Y37" s="114"/>
      <c r="AG37" s="49"/>
      <c r="AH37" s="49"/>
    </row>
    <row r="38" spans="1:34" ht="15.75">
      <c r="A38" s="46" t="s">
        <v>343</v>
      </c>
      <c r="B38" s="46"/>
      <c r="C38" s="151"/>
      <c r="F38" s="322">
        <v>0.08</v>
      </c>
      <c r="G38" s="322">
        <v>0.97</v>
      </c>
      <c r="H38" s="322">
        <v>1.33</v>
      </c>
      <c r="I38" s="322">
        <v>2.84</v>
      </c>
      <c r="J38" s="322">
        <v>4.46</v>
      </c>
      <c r="K38" s="322">
        <v>6.16</v>
      </c>
      <c r="L38" s="322">
        <v>5.85</v>
      </c>
      <c r="M38" s="322">
        <v>3.66</v>
      </c>
      <c r="N38" s="322">
        <v>3.06</v>
      </c>
      <c r="O38" s="322">
        <v>2.38</v>
      </c>
      <c r="P38" s="322">
        <v>0.88</v>
      </c>
      <c r="Q38" s="322">
        <v>0.24</v>
      </c>
      <c r="R38" s="45">
        <f>SUM(F38:Q38)</f>
        <v>31.909999999999993</v>
      </c>
      <c r="U38" s="45" t="s">
        <v>394</v>
      </c>
      <c r="V38" s="45"/>
      <c r="W38" s="324">
        <v>0</v>
      </c>
      <c r="X38" s="45"/>
      <c r="Y38" s="49"/>
      <c r="Z38" s="52"/>
      <c r="AG38" s="49"/>
      <c r="AH38" s="49"/>
    </row>
    <row r="39" spans="1:34" ht="15.75">
      <c r="A39" s="46" t="s">
        <v>100</v>
      </c>
      <c r="B39" s="46"/>
      <c r="C39" s="49"/>
      <c r="F39" s="45">
        <f>F38/$R38</f>
        <v>0.0025070510811657796</v>
      </c>
      <c r="G39" s="45">
        <f aca="true" t="shared" si="7" ref="G39:Q39">G38/$R38</f>
        <v>0.030397994359135073</v>
      </c>
      <c r="H39" s="45">
        <f t="shared" si="7"/>
        <v>0.041679724224381084</v>
      </c>
      <c r="I39" s="45">
        <f t="shared" si="7"/>
        <v>0.08900031338138516</v>
      </c>
      <c r="J39" s="45">
        <f t="shared" si="7"/>
        <v>0.1397680977749922</v>
      </c>
      <c r="K39" s="45">
        <f t="shared" si="7"/>
        <v>0.19304293324976501</v>
      </c>
      <c r="L39" s="45">
        <f t="shared" si="7"/>
        <v>0.1833281103102476</v>
      </c>
      <c r="M39" s="45">
        <f t="shared" si="7"/>
        <v>0.1146975869633344</v>
      </c>
      <c r="N39" s="45">
        <f t="shared" si="7"/>
        <v>0.09589470385459106</v>
      </c>
      <c r="O39" s="45">
        <f t="shared" si="7"/>
        <v>0.07458476966468193</v>
      </c>
      <c r="P39" s="45">
        <f t="shared" si="7"/>
        <v>0.027577561892823572</v>
      </c>
      <c r="Q39" s="45">
        <f t="shared" si="7"/>
        <v>0.007521153243497338</v>
      </c>
      <c r="R39" s="45">
        <f>SUM(F39:Q39)</f>
        <v>1.0000000000000004</v>
      </c>
      <c r="U39" s="45" t="s">
        <v>331</v>
      </c>
      <c r="V39" s="4"/>
      <c r="W39" s="324">
        <v>0</v>
      </c>
      <c r="X39" s="45"/>
      <c r="Y39" s="303"/>
      <c r="Z39" s="50"/>
      <c r="AA39" s="112"/>
      <c r="AG39" s="49"/>
      <c r="AH39" s="49"/>
    </row>
    <row r="40" spans="1:34" ht="15.75" thickBot="1">
      <c r="A40" s="46"/>
      <c r="B40" s="46"/>
      <c r="C40" s="49"/>
      <c r="F40" s="49"/>
      <c r="G40" s="52"/>
      <c r="H40" s="49"/>
      <c r="I40" s="49"/>
      <c r="J40" s="49"/>
      <c r="K40" s="49"/>
      <c r="L40" s="49"/>
      <c r="M40" s="52"/>
      <c r="N40" s="49"/>
      <c r="O40" s="49"/>
      <c r="P40" s="49"/>
      <c r="Q40" s="49"/>
      <c r="R40" s="49"/>
      <c r="U40" s="45" t="s">
        <v>83</v>
      </c>
      <c r="V40" s="4"/>
      <c r="W40" s="324">
        <v>0</v>
      </c>
      <c r="X40" s="45"/>
      <c r="Y40" s="303"/>
      <c r="Z40" s="50"/>
      <c r="AG40" s="49"/>
      <c r="AH40" s="49"/>
    </row>
    <row r="41" spans="1:34" ht="15.75" thickBot="1">
      <c r="A41" s="136" t="s">
        <v>197</v>
      </c>
      <c r="B41" s="136"/>
      <c r="C41" s="137"/>
      <c r="D41" s="137"/>
      <c r="E41" s="137"/>
      <c r="F41" s="340">
        <v>26.01</v>
      </c>
      <c r="G41" s="145" t="s">
        <v>10</v>
      </c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U41" s="45" t="s">
        <v>344</v>
      </c>
      <c r="V41" s="94"/>
      <c r="W41" s="349">
        <v>0</v>
      </c>
      <c r="X41" s="45"/>
      <c r="Y41" s="49"/>
      <c r="Z41" s="52"/>
      <c r="AA41" s="112"/>
      <c r="AG41" s="49"/>
      <c r="AH41" s="49"/>
    </row>
    <row r="42" spans="1:34" ht="15.75">
      <c r="A42" s="46"/>
      <c r="B42" s="46"/>
      <c r="C42" s="49"/>
      <c r="F42" s="53" t="s">
        <v>89</v>
      </c>
      <c r="G42" s="53" t="s">
        <v>90</v>
      </c>
      <c r="H42" s="53" t="s">
        <v>91</v>
      </c>
      <c r="I42" s="53" t="s">
        <v>92</v>
      </c>
      <c r="J42" s="53" t="s">
        <v>23</v>
      </c>
      <c r="K42" s="53" t="s">
        <v>93</v>
      </c>
      <c r="L42" s="53" t="s">
        <v>94</v>
      </c>
      <c r="M42" s="53" t="s">
        <v>95</v>
      </c>
      <c r="N42" s="53" t="s">
        <v>96</v>
      </c>
      <c r="O42" s="53" t="s">
        <v>97</v>
      </c>
      <c r="P42" s="53" t="s">
        <v>98</v>
      </c>
      <c r="Q42" s="53" t="s">
        <v>99</v>
      </c>
      <c r="R42" s="53" t="s">
        <v>73</v>
      </c>
      <c r="U42" s="4" t="s">
        <v>15</v>
      </c>
      <c r="V42" s="45"/>
      <c r="W42" s="46">
        <f>SUM(W38:W41)</f>
        <v>0</v>
      </c>
      <c r="X42" s="37"/>
      <c r="Y42" s="49"/>
      <c r="Z42" s="52"/>
      <c r="AG42" s="49"/>
      <c r="AH42" s="49"/>
    </row>
    <row r="43" spans="1:34" ht="15.75">
      <c r="A43" s="46"/>
      <c r="B43" s="46"/>
      <c r="C43" s="49"/>
      <c r="F43" s="53"/>
      <c r="G43" s="50"/>
      <c r="H43" s="50"/>
      <c r="I43" s="53"/>
      <c r="J43" s="50"/>
      <c r="K43" s="50"/>
      <c r="L43" s="50"/>
      <c r="M43" s="50"/>
      <c r="N43" s="53"/>
      <c r="O43" s="50"/>
      <c r="P43" s="53"/>
      <c r="Q43" s="50"/>
      <c r="R43" s="53"/>
      <c r="W43" s="49"/>
      <c r="X43" s="49"/>
      <c r="Y43" s="49"/>
      <c r="Z43" s="52"/>
      <c r="AA43" s="49"/>
      <c r="AB43" s="49"/>
      <c r="AC43" s="49"/>
      <c r="AD43" s="49"/>
      <c r="AE43" s="49"/>
      <c r="AF43" s="52"/>
      <c r="AG43" s="49"/>
      <c r="AH43" s="49"/>
    </row>
    <row r="44" spans="1:34" ht="15.75">
      <c r="A44" s="46" t="s">
        <v>7</v>
      </c>
      <c r="B44" s="46"/>
      <c r="C44" s="49"/>
      <c r="F44" s="49">
        <f>F39*$F41</f>
        <v>0.06520839862112193</v>
      </c>
      <c r="G44" s="49">
        <f aca="true" t="shared" si="8" ref="G44:Q44">G39*$F41</f>
        <v>0.7906518332811033</v>
      </c>
      <c r="H44" s="49">
        <f t="shared" si="8"/>
        <v>1.084089627076152</v>
      </c>
      <c r="I44" s="49">
        <f t="shared" si="8"/>
        <v>2.314898151049828</v>
      </c>
      <c r="J44" s="49">
        <f t="shared" si="8"/>
        <v>3.6353682231275473</v>
      </c>
      <c r="K44" s="49">
        <f t="shared" si="8"/>
        <v>5.0210466938263885</v>
      </c>
      <c r="L44" s="49">
        <f t="shared" si="8"/>
        <v>4.76836414916954</v>
      </c>
      <c r="M44" s="49">
        <f t="shared" si="8"/>
        <v>2.983284236916328</v>
      </c>
      <c r="N44" s="49">
        <f t="shared" si="8"/>
        <v>2.4942212472579137</v>
      </c>
      <c r="O44" s="49">
        <f t="shared" si="8"/>
        <v>1.939949858978377</v>
      </c>
      <c r="P44" s="49">
        <f t="shared" si="8"/>
        <v>0.7172923848323411</v>
      </c>
      <c r="Q44" s="49">
        <f t="shared" si="8"/>
        <v>0.19562519586336577</v>
      </c>
      <c r="R44" s="49">
        <f>SUM(F44:Q44)</f>
        <v>26.010000000000005</v>
      </c>
      <c r="U44" s="61"/>
      <c r="V44" s="57"/>
      <c r="W44" s="57"/>
      <c r="X44" s="57"/>
      <c r="Y44" s="57"/>
      <c r="Z44" s="289"/>
      <c r="AA44" s="57"/>
      <c r="AB44" s="49"/>
      <c r="AC44" s="49"/>
      <c r="AD44" s="49"/>
      <c r="AE44" s="49"/>
      <c r="AF44" s="52"/>
      <c r="AG44" s="49"/>
      <c r="AH44" s="49"/>
    </row>
    <row r="45" spans="1:34" ht="15.75">
      <c r="A45" s="46" t="s">
        <v>6</v>
      </c>
      <c r="B45" s="46"/>
      <c r="C45" s="49"/>
      <c r="F45" s="49">
        <f aca="true" t="shared" si="9" ref="F45:Q45">F44/12</f>
        <v>0.005434033218426827</v>
      </c>
      <c r="G45" s="49">
        <f t="shared" si="9"/>
        <v>0.06588765277342527</v>
      </c>
      <c r="H45" s="49">
        <f t="shared" si="9"/>
        <v>0.090340802256346</v>
      </c>
      <c r="I45" s="49">
        <f t="shared" si="9"/>
        <v>0.19290817925415235</v>
      </c>
      <c r="J45" s="49">
        <f t="shared" si="9"/>
        <v>0.3029473519272956</v>
      </c>
      <c r="K45" s="49">
        <f t="shared" si="9"/>
        <v>0.4184205578188657</v>
      </c>
      <c r="L45" s="49">
        <f t="shared" si="9"/>
        <v>0.3973636790974617</v>
      </c>
      <c r="M45" s="49">
        <f t="shared" si="9"/>
        <v>0.24860701974302735</v>
      </c>
      <c r="N45" s="49">
        <f t="shared" si="9"/>
        <v>0.20785177060482615</v>
      </c>
      <c r="O45" s="49">
        <f t="shared" si="9"/>
        <v>0.1616624882481981</v>
      </c>
      <c r="P45" s="49">
        <f t="shared" si="9"/>
        <v>0.059774365402695095</v>
      </c>
      <c r="Q45" s="49">
        <f t="shared" si="9"/>
        <v>0.01630209965528048</v>
      </c>
      <c r="R45" s="49">
        <f>SUM(F45:Q45)</f>
        <v>2.167500000000001</v>
      </c>
      <c r="U45" s="57"/>
      <c r="V45" s="57"/>
      <c r="W45" s="57"/>
      <c r="X45" s="57"/>
      <c r="Y45" s="57"/>
      <c r="Z45" s="57"/>
      <c r="AA45" s="57"/>
      <c r="AB45" s="49"/>
      <c r="AC45" s="49"/>
      <c r="AD45" s="49"/>
      <c r="AE45" s="49"/>
      <c r="AF45" s="52"/>
      <c r="AG45" s="49"/>
      <c r="AH45" s="49"/>
    </row>
    <row r="46" spans="21:34" ht="15.75">
      <c r="U46" s="57"/>
      <c r="V46" s="57"/>
      <c r="W46" s="57"/>
      <c r="X46" s="57"/>
      <c r="Y46" s="57"/>
      <c r="Z46" s="57"/>
      <c r="AA46" s="57"/>
      <c r="AB46" s="49"/>
      <c r="AC46" s="49"/>
      <c r="AD46" s="49"/>
      <c r="AE46" s="49"/>
      <c r="AF46" s="52"/>
      <c r="AG46" s="49"/>
      <c r="AH46" s="49"/>
    </row>
    <row r="47" spans="21:34" ht="15.75">
      <c r="U47" s="57"/>
      <c r="V47" s="57"/>
      <c r="W47" s="57"/>
      <c r="X47" s="57"/>
      <c r="Y47" s="57"/>
      <c r="Z47" s="57"/>
      <c r="AA47" s="57"/>
      <c r="AB47" s="49"/>
      <c r="AC47" s="49"/>
      <c r="AD47" s="49"/>
      <c r="AE47" s="49"/>
      <c r="AF47" s="52"/>
      <c r="AG47" s="49"/>
      <c r="AH47" s="49"/>
    </row>
    <row r="48" spans="23:34" ht="15.75">
      <c r="W48" s="49"/>
      <c r="X48" s="49"/>
      <c r="Y48" s="49"/>
      <c r="Z48" s="52"/>
      <c r="AA48" s="49"/>
      <c r="AB48" s="49"/>
      <c r="AC48" s="49"/>
      <c r="AD48" s="49"/>
      <c r="AE48" s="49"/>
      <c r="AF48" s="52"/>
      <c r="AG48" s="49"/>
      <c r="AH48" s="49"/>
    </row>
    <row r="49" spans="22:34" ht="15.75" customHeight="1">
      <c r="V49" s="57"/>
      <c r="W49" s="57"/>
      <c r="X49" s="57"/>
      <c r="Y49" s="57"/>
      <c r="Z49" s="57"/>
      <c r="AA49" s="57"/>
      <c r="AB49" s="49"/>
      <c r="AC49" s="49"/>
      <c r="AD49" s="49"/>
      <c r="AE49" s="49"/>
      <c r="AF49" s="52"/>
      <c r="AG49" s="49"/>
      <c r="AH49" s="49"/>
    </row>
    <row r="50" spans="21:34" ht="15.75">
      <c r="U50" s="57"/>
      <c r="V50" s="57"/>
      <c r="W50" s="57"/>
      <c r="X50" s="57"/>
      <c r="Y50" s="57"/>
      <c r="Z50" s="57"/>
      <c r="AA50" s="57"/>
      <c r="AB50" s="49"/>
      <c r="AC50" s="49"/>
      <c r="AD50" s="49"/>
      <c r="AE50" s="49"/>
      <c r="AF50" s="52"/>
      <c r="AG50" s="49"/>
      <c r="AH50" s="49"/>
    </row>
    <row r="51" spans="2:34" ht="15.75">
      <c r="B51" s="112"/>
      <c r="S51" s="52"/>
      <c r="T51" s="52"/>
      <c r="U51" s="49"/>
      <c r="W51" s="49"/>
      <c r="X51" s="49"/>
      <c r="Y51" s="49"/>
      <c r="Z51" s="52"/>
      <c r="AA51" s="49"/>
      <c r="AB51" s="49"/>
      <c r="AC51" s="49"/>
      <c r="AD51" s="49"/>
      <c r="AE51" s="49"/>
      <c r="AF51" s="52"/>
      <c r="AG51" s="49"/>
      <c r="AH51" s="49"/>
    </row>
    <row r="52" spans="1:34" s="49" customFormat="1" ht="15.75">
      <c r="A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AB52" s="46"/>
      <c r="AC52" s="46"/>
      <c r="AD52" s="46"/>
      <c r="AE52" s="46"/>
      <c r="AF52" s="50"/>
      <c r="AG52" s="46"/>
      <c r="AH52" s="46"/>
    </row>
    <row r="53" spans="2:34" ht="15.75">
      <c r="B53" s="112"/>
      <c r="AB53" s="49"/>
      <c r="AC53" s="49"/>
      <c r="AD53" s="49"/>
      <c r="AE53" s="49"/>
      <c r="AF53" s="52"/>
      <c r="AG53" s="49"/>
      <c r="AH53" s="49"/>
    </row>
    <row r="54" spans="2:34" ht="15.75">
      <c r="B54" s="112"/>
      <c r="W54" s="49"/>
      <c r="X54" s="49"/>
      <c r="Y54" s="49"/>
      <c r="Z54" s="52"/>
      <c r="AA54" s="49"/>
      <c r="AB54" s="49"/>
      <c r="AC54" s="49"/>
      <c r="AD54" s="49"/>
      <c r="AE54" s="49"/>
      <c r="AF54" s="52"/>
      <c r="AG54" s="49"/>
      <c r="AH54" s="49"/>
    </row>
    <row r="55" spans="2:34" ht="15.75">
      <c r="B55" s="112"/>
      <c r="W55" s="49"/>
      <c r="X55" s="49"/>
      <c r="Z55" s="52"/>
      <c r="AA55" s="49"/>
      <c r="AB55" s="49"/>
      <c r="AC55" s="49"/>
      <c r="AD55" s="49"/>
      <c r="AE55" s="49"/>
      <c r="AF55" s="52"/>
      <c r="AG55" s="49"/>
      <c r="AH55" s="49"/>
    </row>
    <row r="56" spans="2:34" ht="15.75">
      <c r="B56" s="112"/>
      <c r="V56" s="112"/>
      <c r="W56" s="49"/>
      <c r="X56" s="49"/>
      <c r="Y56" s="49"/>
      <c r="Z56" s="52"/>
      <c r="AA56" s="49"/>
      <c r="AB56" s="49"/>
      <c r="AC56" s="49"/>
      <c r="AD56" s="49"/>
      <c r="AE56" s="49"/>
      <c r="AF56" s="52"/>
      <c r="AG56" s="49"/>
      <c r="AH56" s="49"/>
    </row>
    <row r="57" ht="15.75">
      <c r="B57" s="112"/>
    </row>
    <row r="58" ht="15.75">
      <c r="B58" s="112"/>
    </row>
    <row r="59" ht="15.75">
      <c r="B59" s="112"/>
    </row>
    <row r="60" ht="15.75">
      <c r="B60" s="112"/>
    </row>
    <row r="61" ht="15.75">
      <c r="B61" s="112"/>
    </row>
    <row r="62" ht="15.75">
      <c r="B62" s="112"/>
    </row>
  </sheetData>
  <sheetProtection password="CC93" sheet="1" objects="1" scenarios="1"/>
  <mergeCells count="12">
    <mergeCell ref="L33:AA34"/>
    <mergeCell ref="AK6:AO6"/>
    <mergeCell ref="F26:K26"/>
    <mergeCell ref="AQ6:AU6"/>
    <mergeCell ref="AE6:AI6"/>
    <mergeCell ref="L26:P26"/>
    <mergeCell ref="Q26:R26"/>
    <mergeCell ref="V26:AA26"/>
    <mergeCell ref="A3:C3"/>
    <mergeCell ref="E6:J6"/>
    <mergeCell ref="L6:P6"/>
    <mergeCell ref="R6:W6"/>
  </mergeCells>
  <printOptions gridLines="1" horizontalCentered="1"/>
  <pageMargins left="0.75" right="0.25" top="0.75" bottom="0.75" header="0.5" footer="0.5"/>
  <pageSetup fitToHeight="1" fitToWidth="1" horizontalDpi="600" verticalDpi="600" orientation="landscape" paperSize="17" scale="67" r:id="rId3"/>
  <headerFooter alignWithMargins="0">
    <oddHeader>&amp;L&amp;D</oddHeader>
    <oddFooter>&amp;L&amp;F&amp;R&amp;A</oddFooter>
  </headerFooter>
  <colBreaks count="1" manualBreakCount="1">
    <brk id="47" max="65535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62"/>
  <sheetViews>
    <sheetView zoomScale="75" zoomScaleNormal="75" zoomScaleSheetLayoutView="75" zoomScalePageLayoutView="0" workbookViewId="0" topLeftCell="A1">
      <selection activeCell="A7" sqref="A7"/>
    </sheetView>
  </sheetViews>
  <sheetFormatPr defaultColWidth="9.140625" defaultRowHeight="12.75"/>
  <cols>
    <col min="1" max="1" width="28.28125" style="110" customWidth="1"/>
    <col min="2" max="24" width="10.7109375" style="110" customWidth="1"/>
    <col min="25" max="25" width="8.7109375" style="110" customWidth="1"/>
    <col min="26" max="27" width="10.00390625" style="110" bestFit="1" customWidth="1"/>
    <col min="28" max="28" width="9.57421875" style="110" bestFit="1" customWidth="1"/>
    <col min="29" max="30" width="10.00390625" style="110" bestFit="1" customWidth="1"/>
    <col min="31" max="31" width="9.8515625" style="110" customWidth="1"/>
    <col min="32" max="33" width="10.00390625" style="110" bestFit="1" customWidth="1"/>
    <col min="34" max="34" width="7.421875" style="110" customWidth="1"/>
    <col min="35" max="35" width="15.7109375" style="110" customWidth="1"/>
    <col min="36" max="36" width="7.28125" style="110" bestFit="1" customWidth="1"/>
    <col min="37" max="37" width="8.7109375" style="110" customWidth="1"/>
    <col min="38" max="38" width="8.8515625" style="110" bestFit="1" customWidth="1"/>
    <col min="39" max="39" width="8.7109375" style="110" bestFit="1" customWidth="1"/>
    <col min="40" max="40" width="7.00390625" style="110" bestFit="1" customWidth="1"/>
    <col min="41" max="207" width="9.7109375" style="110" customWidth="1"/>
    <col min="208" max="16384" width="9.140625" style="110" customWidth="1"/>
  </cols>
  <sheetData>
    <row r="1" spans="1:33" ht="18">
      <c r="A1" s="60" t="s">
        <v>86</v>
      </c>
      <c r="B1" s="49" t="s">
        <v>266</v>
      </c>
      <c r="C1" s="49"/>
      <c r="D1" s="49"/>
      <c r="E1" s="49"/>
      <c r="F1" s="49"/>
      <c r="G1" s="52"/>
      <c r="H1" s="49"/>
      <c r="I1" s="49"/>
      <c r="J1" s="49"/>
      <c r="K1" s="49"/>
      <c r="L1" s="49"/>
      <c r="M1" s="52"/>
      <c r="O1" s="46"/>
      <c r="P1" s="46"/>
      <c r="Q1" s="46"/>
      <c r="R1" s="49"/>
      <c r="S1" s="52"/>
      <c r="T1" s="49"/>
      <c r="U1" s="49"/>
      <c r="V1" s="49"/>
      <c r="W1" s="49"/>
      <c r="X1" s="49"/>
      <c r="Y1" s="52"/>
      <c r="Z1" s="49"/>
      <c r="AA1" s="49"/>
      <c r="AB1" s="49"/>
      <c r="AC1" s="49"/>
      <c r="AD1" s="49"/>
      <c r="AE1" s="52"/>
      <c r="AF1" s="49"/>
      <c r="AG1" s="49"/>
    </row>
    <row r="2" spans="1:45" s="112" customFormat="1" ht="16.5" customHeight="1">
      <c r="A2" s="46" t="s">
        <v>264</v>
      </c>
      <c r="B2" s="46"/>
      <c r="C2" s="128"/>
      <c r="D2" s="123"/>
      <c r="E2" s="123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61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</row>
    <row r="3" spans="1:30" s="45" customFormat="1" ht="15.75">
      <c r="A3" s="389" t="s">
        <v>167</v>
      </c>
      <c r="B3" s="389"/>
      <c r="C3" s="389"/>
      <c r="D3" s="4">
        <v>0.55</v>
      </c>
      <c r="E3" s="56" t="s">
        <v>187</v>
      </c>
      <c r="F3" s="57"/>
      <c r="G3" s="57"/>
      <c r="H3" s="57"/>
      <c r="I3" s="57"/>
      <c r="J3" s="57"/>
      <c r="K3" s="57"/>
      <c r="L3" s="57"/>
      <c r="M3" s="57"/>
      <c r="P3" s="42"/>
      <c r="T3" s="42"/>
      <c r="Y3" s="42"/>
      <c r="AB3" s="4"/>
      <c r="AD3" s="54"/>
    </row>
    <row r="4" spans="1:41" s="61" customFormat="1" ht="18">
      <c r="A4" s="133" t="s">
        <v>194</v>
      </c>
      <c r="B4" s="133"/>
      <c r="C4" s="111"/>
      <c r="D4" s="111"/>
      <c r="E4" s="287"/>
      <c r="F4" s="287"/>
      <c r="G4" s="287"/>
      <c r="H4" s="287"/>
      <c r="I4" s="287"/>
      <c r="J4" s="287"/>
      <c r="K4" s="287"/>
      <c r="L4" s="287"/>
      <c r="M4" s="287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19"/>
      <c r="AH4" s="111"/>
      <c r="AI4" s="111"/>
      <c r="AJ4" s="111"/>
      <c r="AK4" s="111"/>
      <c r="AL4" s="111"/>
      <c r="AM4" s="111"/>
      <c r="AN4" s="111"/>
      <c r="AO4" s="111"/>
    </row>
    <row r="5" spans="1:46" s="61" customFormat="1" ht="15.75" customHeight="1">
      <c r="A5" s="50"/>
      <c r="B5" s="50"/>
      <c r="C5" s="49"/>
      <c r="D5" s="50"/>
      <c r="E5" s="390"/>
      <c r="F5" s="391"/>
      <c r="G5" s="391"/>
      <c r="H5" s="391"/>
      <c r="I5" s="391"/>
      <c r="J5" s="391"/>
      <c r="K5" s="160"/>
      <c r="L5" s="229"/>
      <c r="M5" s="73"/>
      <c r="N5" s="73"/>
      <c r="O5" s="73"/>
      <c r="P5" s="73"/>
      <c r="Q5" s="73"/>
      <c r="R5" s="229"/>
      <c r="S5" s="73"/>
      <c r="T5" s="73"/>
      <c r="U5" s="73"/>
      <c r="V5" s="73"/>
      <c r="W5" s="73"/>
      <c r="X5" s="229"/>
      <c r="Y5" s="73"/>
      <c r="Z5" s="73"/>
      <c r="AA5" s="73"/>
      <c r="AB5" s="73"/>
      <c r="AC5" s="73"/>
      <c r="AD5" s="229"/>
      <c r="AE5" s="73"/>
      <c r="AF5" s="73"/>
      <c r="AG5" s="73"/>
      <c r="AH5" s="73"/>
      <c r="AI5" s="73"/>
      <c r="AJ5" s="229"/>
      <c r="AK5" s="73"/>
      <c r="AL5" s="73"/>
      <c r="AM5" s="73"/>
      <c r="AN5" s="73"/>
      <c r="AO5" s="73"/>
      <c r="AP5" s="229"/>
      <c r="AQ5" s="73"/>
      <c r="AR5" s="73"/>
      <c r="AS5" s="73"/>
      <c r="AT5" s="73"/>
    </row>
    <row r="6" spans="6:48" s="122" customFormat="1" ht="15">
      <c r="F6" s="54">
        <v>0</v>
      </c>
      <c r="G6" s="115" t="s">
        <v>191</v>
      </c>
      <c r="H6" s="115"/>
      <c r="I6" s="115"/>
      <c r="L6" s="54"/>
      <c r="M6" s="115"/>
      <c r="N6" s="115"/>
      <c r="O6" s="115"/>
      <c r="R6" s="54"/>
      <c r="S6" s="115"/>
      <c r="T6" s="115"/>
      <c r="U6" s="115"/>
      <c r="X6" s="54"/>
      <c r="Y6" s="115"/>
      <c r="Z6" s="115"/>
      <c r="AA6" s="115"/>
      <c r="AD6" s="54"/>
      <c r="AE6" s="115"/>
      <c r="AF6" s="115"/>
      <c r="AG6" s="115"/>
      <c r="AJ6" s="54"/>
      <c r="AK6" s="115"/>
      <c r="AL6" s="115"/>
      <c r="AM6" s="115"/>
      <c r="AP6" s="54"/>
      <c r="AQ6" s="115"/>
      <c r="AR6" s="115"/>
      <c r="AS6" s="115"/>
      <c r="AV6" s="115"/>
    </row>
    <row r="7" spans="6:48" s="122" customFormat="1" ht="15">
      <c r="F7" s="54">
        <v>0</v>
      </c>
      <c r="G7" s="115" t="s">
        <v>212</v>
      </c>
      <c r="H7" s="115"/>
      <c r="I7" s="115"/>
      <c r="L7" s="54"/>
      <c r="M7" s="115"/>
      <c r="N7" s="115"/>
      <c r="O7" s="115"/>
      <c r="R7" s="54"/>
      <c r="S7" s="115"/>
      <c r="T7" s="115"/>
      <c r="U7" s="115"/>
      <c r="X7" s="54"/>
      <c r="Y7" s="115"/>
      <c r="Z7" s="115"/>
      <c r="AA7" s="115"/>
      <c r="AD7" s="54"/>
      <c r="AE7" s="115"/>
      <c r="AF7" s="115"/>
      <c r="AG7" s="115"/>
      <c r="AJ7" s="54"/>
      <c r="AK7" s="115"/>
      <c r="AL7" s="115"/>
      <c r="AM7" s="115"/>
      <c r="AP7" s="54"/>
      <c r="AQ7" s="115"/>
      <c r="AR7" s="115"/>
      <c r="AS7" s="115"/>
      <c r="AV7" s="112"/>
    </row>
    <row r="8" spans="3:29" s="112" customFormat="1" ht="15">
      <c r="C8" s="130"/>
      <c r="D8" s="49"/>
      <c r="E8" s="49"/>
      <c r="F8" s="112">
        <v>0</v>
      </c>
      <c r="G8" s="112" t="s">
        <v>200</v>
      </c>
      <c r="J8" s="49"/>
      <c r="K8" s="49"/>
      <c r="L8" s="51"/>
      <c r="P8" s="49"/>
      <c r="Q8" s="49"/>
      <c r="R8" s="54"/>
      <c r="V8" s="49"/>
      <c r="W8" s="49"/>
      <c r="X8" s="54"/>
      <c r="AB8" s="49"/>
      <c r="AC8" s="49"/>
    </row>
    <row r="9" spans="3:43" s="112" customFormat="1" ht="15">
      <c r="C9" s="130"/>
      <c r="F9" s="54">
        <f>SUM(F6:F8)</f>
        <v>0</v>
      </c>
      <c r="G9" s="49" t="s">
        <v>201</v>
      </c>
      <c r="H9" s="49"/>
      <c r="I9" s="49"/>
      <c r="L9" s="54"/>
      <c r="M9" s="49"/>
      <c r="N9" s="49"/>
      <c r="O9" s="49"/>
      <c r="R9" s="54"/>
      <c r="S9" s="49"/>
      <c r="T9" s="49"/>
      <c r="U9" s="49"/>
      <c r="X9" s="54"/>
      <c r="Y9" s="49"/>
      <c r="Z9" s="49"/>
      <c r="AA9" s="49"/>
      <c r="AD9" s="54"/>
      <c r="AE9" s="49"/>
      <c r="AF9" s="49"/>
      <c r="AJ9" s="54"/>
      <c r="AK9" s="49"/>
      <c r="AP9" s="54"/>
      <c r="AQ9" s="49"/>
    </row>
    <row r="10" spans="1:46" s="127" customFormat="1" ht="93.75" customHeight="1">
      <c r="A10" s="125" t="s">
        <v>88</v>
      </c>
      <c r="B10" s="50" t="s">
        <v>265</v>
      </c>
      <c r="C10" s="124" t="s">
        <v>206</v>
      </c>
      <c r="D10" s="126" t="s">
        <v>196</v>
      </c>
      <c r="E10" s="125" t="s">
        <v>19</v>
      </c>
      <c r="F10" s="126" t="s">
        <v>362</v>
      </c>
      <c r="G10" s="126" t="s">
        <v>217</v>
      </c>
      <c r="H10" s="126" t="s">
        <v>192</v>
      </c>
      <c r="I10" s="126" t="s">
        <v>195</v>
      </c>
      <c r="J10" s="124" t="s">
        <v>193</v>
      </c>
      <c r="K10" s="125"/>
      <c r="L10" s="126"/>
      <c r="M10" s="126"/>
      <c r="N10" s="126"/>
      <c r="O10" s="126"/>
      <c r="P10" s="124"/>
      <c r="Q10" s="125"/>
      <c r="R10" s="126"/>
      <c r="S10" s="126"/>
      <c r="T10" s="126"/>
      <c r="U10" s="126"/>
      <c r="V10" s="124"/>
      <c r="W10" s="125"/>
      <c r="X10" s="126"/>
      <c r="Y10" s="126"/>
      <c r="Z10" s="126"/>
      <c r="AA10" s="126"/>
      <c r="AB10" s="124"/>
      <c r="AC10" s="125"/>
      <c r="AD10" s="126"/>
      <c r="AE10" s="126"/>
      <c r="AF10" s="126"/>
      <c r="AG10" s="126"/>
      <c r="AH10" s="124"/>
      <c r="AI10" s="125"/>
      <c r="AJ10" s="126"/>
      <c r="AK10" s="126"/>
      <c r="AL10" s="126"/>
      <c r="AM10" s="126"/>
      <c r="AN10" s="124"/>
      <c r="AO10" s="125"/>
      <c r="AP10" s="126"/>
      <c r="AQ10" s="126"/>
      <c r="AR10" s="126"/>
      <c r="AS10" s="126"/>
      <c r="AT10" s="124"/>
    </row>
    <row r="11" spans="1:46" s="127" customFormat="1" ht="15.75" customHeight="1">
      <c r="A11" s="55" t="s">
        <v>180</v>
      </c>
      <c r="B11" s="54">
        <f>F45/$D$3</f>
        <v>0.024330690078353635</v>
      </c>
      <c r="C11" s="179">
        <f>2.21/12</f>
        <v>0.18416666666666667</v>
      </c>
      <c r="D11" s="338">
        <f>0/12</f>
        <v>0</v>
      </c>
      <c r="E11" s="126"/>
      <c r="F11" s="54">
        <f>$F$6*(IF($C11-$D11&lt;0,0,ABS($C11-$D11)))</f>
        <v>0</v>
      </c>
      <c r="G11" s="54">
        <f aca="true" t="shared" si="0" ref="G11:G22">F11/$D$3</f>
        <v>0</v>
      </c>
      <c r="H11" s="49">
        <f>F$8*$B11</f>
        <v>0</v>
      </c>
      <c r="I11" s="54">
        <f>G11+H11</f>
        <v>0</v>
      </c>
      <c r="J11" s="54">
        <f>IF(E11-I11&gt;0,0,ABS(E11-I11))</f>
        <v>0</v>
      </c>
      <c r="K11" s="50"/>
      <c r="L11" s="54"/>
      <c r="M11" s="54"/>
      <c r="N11" s="49"/>
      <c r="O11" s="54"/>
      <c r="P11" s="54"/>
      <c r="Q11" s="50"/>
      <c r="R11" s="54"/>
      <c r="S11" s="54"/>
      <c r="T11" s="49"/>
      <c r="U11" s="54"/>
      <c r="V11" s="54"/>
      <c r="W11" s="50"/>
      <c r="X11" s="54"/>
      <c r="Y11" s="54"/>
      <c r="Z11" s="49"/>
      <c r="AA11" s="54"/>
      <c r="AB11" s="54"/>
      <c r="AC11" s="50"/>
      <c r="AD11" s="54"/>
      <c r="AE11" s="54"/>
      <c r="AF11" s="49"/>
      <c r="AG11" s="54"/>
      <c r="AH11" s="54"/>
      <c r="AI11" s="50"/>
      <c r="AJ11" s="126"/>
      <c r="AK11" s="126"/>
      <c r="AL11" s="126"/>
      <c r="AM11" s="126"/>
      <c r="AN11" s="124"/>
      <c r="AO11" s="50"/>
      <c r="AP11" s="126"/>
      <c r="AQ11" s="126"/>
      <c r="AR11" s="126"/>
      <c r="AS11" s="126"/>
      <c r="AT11" s="124"/>
    </row>
    <row r="12" spans="1:46" s="112" customFormat="1" ht="15.75">
      <c r="A12" s="55" t="s">
        <v>21</v>
      </c>
      <c r="B12" s="51">
        <f>G45/$D$3</f>
        <v>0.10500613612763145</v>
      </c>
      <c r="C12" s="108">
        <f>2.92/12</f>
        <v>0.24333333333333332</v>
      </c>
      <c r="D12" s="339">
        <f>0.08/12</f>
        <v>0.006666666666666667</v>
      </c>
      <c r="E12" s="54"/>
      <c r="F12" s="54">
        <f>$F$6*(IF($C12-$D12&lt;0,0,ABS($C12-$D12)))</f>
        <v>0</v>
      </c>
      <c r="G12" s="54">
        <f t="shared" si="0"/>
        <v>0</v>
      </c>
      <c r="H12" s="49">
        <f>F$8*$B12</f>
        <v>0</v>
      </c>
      <c r="I12" s="54">
        <f aca="true" t="shared" si="1" ref="I12:I21">G12+H12</f>
        <v>0</v>
      </c>
      <c r="J12" s="54">
        <f>IF(E12-I12&gt;0,0,ABS(E12-I12))</f>
        <v>0</v>
      </c>
      <c r="K12" s="49"/>
      <c r="L12" s="54"/>
      <c r="M12" s="54"/>
      <c r="N12" s="49"/>
      <c r="O12" s="54"/>
      <c r="P12" s="54"/>
      <c r="Q12" s="49"/>
      <c r="R12" s="54"/>
      <c r="S12" s="54"/>
      <c r="T12" s="49"/>
      <c r="U12" s="54"/>
      <c r="V12" s="54"/>
      <c r="W12" s="49"/>
      <c r="X12" s="54"/>
      <c r="Y12" s="54"/>
      <c r="Z12" s="49"/>
      <c r="AA12" s="54"/>
      <c r="AB12" s="54"/>
      <c r="AC12" s="49"/>
      <c r="AD12" s="54"/>
      <c r="AE12" s="54"/>
      <c r="AF12" s="49"/>
      <c r="AG12" s="54"/>
      <c r="AH12" s="54"/>
      <c r="AI12" s="54"/>
      <c r="AJ12" s="54"/>
      <c r="AK12" s="54"/>
      <c r="AL12" s="49"/>
      <c r="AM12" s="54"/>
      <c r="AN12" s="54"/>
      <c r="AO12" s="131"/>
      <c r="AP12" s="54"/>
      <c r="AQ12" s="54"/>
      <c r="AR12" s="49"/>
      <c r="AS12" s="54"/>
      <c r="AT12" s="54"/>
    </row>
    <row r="13" spans="1:46" s="112" customFormat="1" ht="15.75">
      <c r="A13" s="55" t="s">
        <v>20</v>
      </c>
      <c r="B13" s="51">
        <f>H45/$D$3</f>
        <v>0.14598414047012176</v>
      </c>
      <c r="C13" s="108">
        <f>6.12/12</f>
        <v>0.51</v>
      </c>
      <c r="D13" s="324">
        <f>1.06/12</f>
        <v>0.08833333333333333</v>
      </c>
      <c r="E13" s="45"/>
      <c r="F13" s="54">
        <f aca="true" t="shared" si="2" ref="F13:F21">$F$6*(IF($C13-$D13&lt;0,0,ABS($C13-$D13)))</f>
        <v>0</v>
      </c>
      <c r="G13" s="54">
        <f t="shared" si="0"/>
        <v>0</v>
      </c>
      <c r="H13" s="49">
        <f>F$8*$B13</f>
        <v>0</v>
      </c>
      <c r="I13" s="54">
        <f t="shared" si="1"/>
        <v>0</v>
      </c>
      <c r="J13" s="54">
        <f>IF(E13-I13&gt;0,0,ABS(E13-I13))</f>
        <v>0</v>
      </c>
      <c r="K13" s="45"/>
      <c r="L13" s="54"/>
      <c r="M13" s="54"/>
      <c r="N13" s="49"/>
      <c r="O13" s="54"/>
      <c r="P13" s="54"/>
      <c r="Q13" s="45"/>
      <c r="R13" s="54"/>
      <c r="S13" s="54"/>
      <c r="T13" s="49"/>
      <c r="U13" s="54"/>
      <c r="V13" s="54"/>
      <c r="W13" s="54"/>
      <c r="X13" s="54"/>
      <c r="Y13" s="54"/>
      <c r="Z13" s="49"/>
      <c r="AA13" s="54"/>
      <c r="AB13" s="54"/>
      <c r="AC13" s="54"/>
      <c r="AD13" s="54"/>
      <c r="AE13" s="54"/>
      <c r="AF13" s="49"/>
      <c r="AG13" s="54"/>
      <c r="AH13" s="54"/>
      <c r="AI13" s="54"/>
      <c r="AJ13" s="54"/>
      <c r="AK13" s="54"/>
      <c r="AL13" s="49"/>
      <c r="AM13" s="54"/>
      <c r="AN13" s="54"/>
      <c r="AO13" s="131"/>
      <c r="AP13" s="54"/>
      <c r="AQ13" s="54"/>
      <c r="AR13" s="49"/>
      <c r="AS13" s="54"/>
      <c r="AT13" s="54"/>
    </row>
    <row r="14" spans="1:46" s="112" customFormat="1" ht="15.75">
      <c r="A14" s="55" t="s">
        <v>22</v>
      </c>
      <c r="B14" s="51">
        <f>I45/$D$3</f>
        <v>0.3752048522609271</v>
      </c>
      <c r="C14" s="108">
        <f>7.97/12</f>
        <v>0.6641666666666667</v>
      </c>
      <c r="D14" s="324">
        <f>0.15/12</f>
        <v>0.012499999999999999</v>
      </c>
      <c r="E14" s="45">
        <v>0</v>
      </c>
      <c r="F14" s="54">
        <f t="shared" si="2"/>
        <v>0</v>
      </c>
      <c r="G14" s="54">
        <f t="shared" si="0"/>
        <v>0</v>
      </c>
      <c r="H14" s="49">
        <f aca="true" t="shared" si="3" ref="H14:H21">F$8*$B14</f>
        <v>0</v>
      </c>
      <c r="I14" s="54">
        <f t="shared" si="1"/>
        <v>0</v>
      </c>
      <c r="J14" s="54">
        <f aca="true" t="shared" si="4" ref="J14:J21">IF(E14-I14&gt;0,0,ABS(E14-I14))</f>
        <v>0</v>
      </c>
      <c r="K14" s="45"/>
      <c r="L14" s="54"/>
      <c r="M14" s="54"/>
      <c r="N14" s="49"/>
      <c r="O14" s="54"/>
      <c r="P14" s="54"/>
      <c r="Q14" s="45"/>
      <c r="R14" s="54"/>
      <c r="S14" s="54"/>
      <c r="T14" s="49"/>
      <c r="U14" s="54"/>
      <c r="V14" s="54"/>
      <c r="W14" s="54"/>
      <c r="X14" s="54"/>
      <c r="Y14" s="54"/>
      <c r="Z14" s="49"/>
      <c r="AA14" s="54"/>
      <c r="AB14" s="54"/>
      <c r="AC14" s="54"/>
      <c r="AD14" s="54"/>
      <c r="AE14" s="54"/>
      <c r="AF14" s="49"/>
      <c r="AG14" s="54"/>
      <c r="AH14" s="54"/>
      <c r="AI14" s="54"/>
      <c r="AJ14" s="54"/>
      <c r="AK14" s="54"/>
      <c r="AL14" s="49"/>
      <c r="AM14" s="54"/>
      <c r="AN14" s="54"/>
      <c r="AO14" s="131"/>
      <c r="AP14" s="54"/>
      <c r="AQ14" s="54"/>
      <c r="AR14" s="49"/>
      <c r="AS14" s="54"/>
      <c r="AT14" s="54"/>
    </row>
    <row r="15" spans="1:46" s="112" customFormat="1" ht="15.75">
      <c r="A15" s="55" t="s">
        <v>23</v>
      </c>
      <c r="B15" s="51">
        <f>J45/$D$3</f>
        <v>0.5916199376947041</v>
      </c>
      <c r="C15" s="108">
        <f>9.18/12</f>
        <v>0.765</v>
      </c>
      <c r="D15" s="324">
        <f>0.04/12</f>
        <v>0.0033333333333333335</v>
      </c>
      <c r="E15" s="45">
        <v>0</v>
      </c>
      <c r="F15" s="54">
        <f t="shared" si="2"/>
        <v>0</v>
      </c>
      <c r="G15" s="54">
        <f t="shared" si="0"/>
        <v>0</v>
      </c>
      <c r="H15" s="49">
        <f t="shared" si="3"/>
        <v>0</v>
      </c>
      <c r="I15" s="54">
        <f t="shared" si="1"/>
        <v>0</v>
      </c>
      <c r="J15" s="54">
        <f t="shared" si="4"/>
        <v>0</v>
      </c>
      <c r="K15" s="45"/>
      <c r="L15" s="54"/>
      <c r="M15" s="54"/>
      <c r="N15" s="49"/>
      <c r="O15" s="54"/>
      <c r="P15" s="54"/>
      <c r="Q15" s="45"/>
      <c r="R15" s="54"/>
      <c r="S15" s="54"/>
      <c r="T15" s="49"/>
      <c r="U15" s="54"/>
      <c r="V15" s="54"/>
      <c r="W15" s="54"/>
      <c r="X15" s="54"/>
      <c r="Y15" s="54"/>
      <c r="Z15" s="49"/>
      <c r="AA15" s="54"/>
      <c r="AB15" s="54"/>
      <c r="AC15" s="54"/>
      <c r="AD15" s="54"/>
      <c r="AE15" s="54"/>
      <c r="AF15" s="49"/>
      <c r="AG15" s="54"/>
      <c r="AH15" s="54"/>
      <c r="AI15" s="54"/>
      <c r="AJ15" s="54"/>
      <c r="AK15" s="54"/>
      <c r="AL15" s="49"/>
      <c r="AM15" s="54"/>
      <c r="AN15" s="54"/>
      <c r="AO15" s="131"/>
      <c r="AP15" s="54"/>
      <c r="AQ15" s="54"/>
      <c r="AR15" s="49"/>
      <c r="AS15" s="54"/>
      <c r="AT15" s="54"/>
    </row>
    <row r="16" spans="1:46" s="112" customFormat="1" ht="15.75">
      <c r="A16" s="55" t="s">
        <v>24</v>
      </c>
      <c r="B16" s="51">
        <f>K45/$D$3</f>
        <v>0.9053577834418957</v>
      </c>
      <c r="C16" s="108">
        <f>10.96/12</f>
        <v>0.9133333333333334</v>
      </c>
      <c r="D16" s="324">
        <f>0.01/12</f>
        <v>0.0008333333333333334</v>
      </c>
      <c r="E16" s="45">
        <v>0</v>
      </c>
      <c r="F16" s="54">
        <f t="shared" si="2"/>
        <v>0</v>
      </c>
      <c r="G16" s="54">
        <f t="shared" si="0"/>
        <v>0</v>
      </c>
      <c r="H16" s="49">
        <f t="shared" si="3"/>
        <v>0</v>
      </c>
      <c r="I16" s="54">
        <f t="shared" si="1"/>
        <v>0</v>
      </c>
      <c r="J16" s="54">
        <f t="shared" si="4"/>
        <v>0</v>
      </c>
      <c r="K16" s="45"/>
      <c r="L16" s="54"/>
      <c r="M16" s="54"/>
      <c r="N16" s="49"/>
      <c r="O16" s="54"/>
      <c r="P16" s="54"/>
      <c r="Q16" s="45"/>
      <c r="R16" s="54"/>
      <c r="S16" s="54"/>
      <c r="T16" s="49"/>
      <c r="U16" s="54"/>
      <c r="V16" s="54"/>
      <c r="W16" s="54"/>
      <c r="X16" s="54"/>
      <c r="Y16" s="54"/>
      <c r="Z16" s="49"/>
      <c r="AA16" s="54"/>
      <c r="AB16" s="54"/>
      <c r="AC16" s="54"/>
      <c r="AD16" s="54"/>
      <c r="AE16" s="54"/>
      <c r="AF16" s="49"/>
      <c r="AG16" s="54"/>
      <c r="AH16" s="54"/>
      <c r="AI16" s="54"/>
      <c r="AJ16" s="54"/>
      <c r="AK16" s="54"/>
      <c r="AL16" s="49"/>
      <c r="AM16" s="54"/>
      <c r="AN16" s="54"/>
      <c r="AO16" s="131"/>
      <c r="AP16" s="54"/>
      <c r="AQ16" s="54"/>
      <c r="AR16" s="49"/>
      <c r="AS16" s="54"/>
      <c r="AT16" s="54"/>
    </row>
    <row r="17" spans="1:46" s="112" customFormat="1" ht="15.75">
      <c r="A17" s="55" t="s">
        <v>25</v>
      </c>
      <c r="B17" s="51">
        <f>L45/$D$3</f>
        <v>0.9245662229774381</v>
      </c>
      <c r="C17" s="108">
        <f>8.4/12</f>
        <v>0.7000000000000001</v>
      </c>
      <c r="D17" s="324">
        <f>0.59/12</f>
        <v>0.049166666666666664</v>
      </c>
      <c r="E17" s="45">
        <v>0</v>
      </c>
      <c r="F17" s="54">
        <f t="shared" si="2"/>
        <v>0</v>
      </c>
      <c r="G17" s="54">
        <f t="shared" si="0"/>
        <v>0</v>
      </c>
      <c r="H17" s="49">
        <f t="shared" si="3"/>
        <v>0</v>
      </c>
      <c r="I17" s="54">
        <f t="shared" si="1"/>
        <v>0</v>
      </c>
      <c r="J17" s="54">
        <f t="shared" si="4"/>
        <v>0</v>
      </c>
      <c r="K17" s="45"/>
      <c r="L17" s="54"/>
      <c r="M17" s="54"/>
      <c r="N17" s="49"/>
      <c r="O17" s="54"/>
      <c r="P17" s="54"/>
      <c r="Q17" s="45"/>
      <c r="R17" s="54"/>
      <c r="S17" s="54"/>
      <c r="T17" s="49"/>
      <c r="U17" s="54"/>
      <c r="V17" s="54"/>
      <c r="W17" s="54"/>
      <c r="X17" s="54"/>
      <c r="Y17" s="54"/>
      <c r="Z17" s="49"/>
      <c r="AA17" s="54"/>
      <c r="AB17" s="54"/>
      <c r="AC17" s="54"/>
      <c r="AD17" s="54"/>
      <c r="AE17" s="54"/>
      <c r="AF17" s="49"/>
      <c r="AG17" s="54"/>
      <c r="AH17" s="54"/>
      <c r="AI17" s="54"/>
      <c r="AJ17" s="54"/>
      <c r="AK17" s="54"/>
      <c r="AL17" s="49"/>
      <c r="AM17" s="54"/>
      <c r="AN17" s="54"/>
      <c r="AO17" s="131"/>
      <c r="AP17" s="54"/>
      <c r="AQ17" s="54"/>
      <c r="AR17" s="49"/>
      <c r="AS17" s="54"/>
      <c r="AT17" s="54"/>
    </row>
    <row r="18" spans="1:46" s="112" customFormat="1" ht="15.75">
      <c r="A18" s="55" t="s">
        <v>26</v>
      </c>
      <c r="B18" s="51">
        <f>M45/$D$3</f>
        <v>0.27916265458321543</v>
      </c>
      <c r="C18" s="108">
        <f>6.98/12</f>
        <v>0.5816666666666667</v>
      </c>
      <c r="D18" s="324">
        <f>6.17/12</f>
        <v>0.5141666666666667</v>
      </c>
      <c r="E18" s="45">
        <v>0</v>
      </c>
      <c r="F18" s="54">
        <f t="shared" si="2"/>
        <v>0</v>
      </c>
      <c r="G18" s="54">
        <f t="shared" si="0"/>
        <v>0</v>
      </c>
      <c r="H18" s="49">
        <f t="shared" si="3"/>
        <v>0</v>
      </c>
      <c r="I18" s="54">
        <f t="shared" si="1"/>
        <v>0</v>
      </c>
      <c r="J18" s="54">
        <f t="shared" si="4"/>
        <v>0</v>
      </c>
      <c r="K18" s="45"/>
      <c r="L18" s="54"/>
      <c r="M18" s="54"/>
      <c r="N18" s="49"/>
      <c r="O18" s="54"/>
      <c r="P18" s="54"/>
      <c r="Q18" s="45"/>
      <c r="R18" s="54"/>
      <c r="S18" s="54"/>
      <c r="T18" s="49"/>
      <c r="U18" s="54"/>
      <c r="V18" s="54"/>
      <c r="W18" s="54"/>
      <c r="X18" s="54"/>
      <c r="Y18" s="54"/>
      <c r="Z18" s="49"/>
      <c r="AA18" s="54"/>
      <c r="AB18" s="54"/>
      <c r="AC18" s="54"/>
      <c r="AD18" s="54"/>
      <c r="AE18" s="54"/>
      <c r="AF18" s="49"/>
      <c r="AG18" s="54"/>
      <c r="AH18" s="54"/>
      <c r="AI18" s="54"/>
      <c r="AJ18" s="54"/>
      <c r="AK18" s="54"/>
      <c r="AL18" s="49"/>
      <c r="AM18" s="54"/>
      <c r="AN18" s="54"/>
      <c r="AO18" s="131"/>
      <c r="AP18" s="54"/>
      <c r="AQ18" s="54"/>
      <c r="AR18" s="49"/>
      <c r="AS18" s="54"/>
      <c r="AT18" s="54"/>
    </row>
    <row r="19" spans="1:46" s="112" customFormat="1" ht="15.75">
      <c r="A19" s="55" t="s">
        <v>27</v>
      </c>
      <c r="B19" s="51">
        <f>N45/$D$3</f>
        <v>0.3367879731898424</v>
      </c>
      <c r="C19" s="108">
        <f>6.19/12</f>
        <v>0.5158333333333334</v>
      </c>
      <c r="D19" s="324">
        <f>3.44/12</f>
        <v>0.2866666666666667</v>
      </c>
      <c r="E19" s="45">
        <v>0</v>
      </c>
      <c r="F19" s="54">
        <f t="shared" si="2"/>
        <v>0</v>
      </c>
      <c r="G19" s="54">
        <f t="shared" si="0"/>
        <v>0</v>
      </c>
      <c r="H19" s="49">
        <f t="shared" si="3"/>
        <v>0</v>
      </c>
      <c r="I19" s="54">
        <f t="shared" si="1"/>
        <v>0</v>
      </c>
      <c r="J19" s="54">
        <f t="shared" si="4"/>
        <v>0</v>
      </c>
      <c r="K19" s="45"/>
      <c r="L19" s="54"/>
      <c r="M19" s="54"/>
      <c r="N19" s="49"/>
      <c r="O19" s="54"/>
      <c r="P19" s="54"/>
      <c r="Q19" s="45"/>
      <c r="R19" s="54"/>
      <c r="S19" s="54"/>
      <c r="T19" s="49"/>
      <c r="U19" s="54"/>
      <c r="V19" s="54"/>
      <c r="W19" s="54"/>
      <c r="X19" s="54"/>
      <c r="Y19" s="54"/>
      <c r="Z19" s="49"/>
      <c r="AA19" s="54"/>
      <c r="AB19" s="54"/>
      <c r="AC19" s="54"/>
      <c r="AD19" s="54"/>
      <c r="AE19" s="54"/>
      <c r="AF19" s="49"/>
      <c r="AG19" s="54"/>
      <c r="AH19" s="54"/>
      <c r="AI19" s="54"/>
      <c r="AJ19" s="54"/>
      <c r="AK19" s="54"/>
      <c r="AL19" s="49"/>
      <c r="AM19" s="54"/>
      <c r="AN19" s="54"/>
      <c r="AO19" s="131"/>
      <c r="AP19" s="54"/>
      <c r="AQ19" s="54"/>
      <c r="AR19" s="49"/>
      <c r="AS19" s="54"/>
      <c r="AT19" s="54"/>
    </row>
    <row r="20" spans="1:46" s="112" customFormat="1" ht="15.75">
      <c r="A20" s="55" t="s">
        <v>28</v>
      </c>
      <c r="B20" s="51">
        <f>O45/$D$3</f>
        <v>0.2881265930331351</v>
      </c>
      <c r="C20" s="108">
        <f>5.2/12</f>
        <v>0.43333333333333335</v>
      </c>
      <c r="D20" s="324">
        <f>0.88/12</f>
        <v>0.07333333333333333</v>
      </c>
      <c r="E20" s="45">
        <v>0</v>
      </c>
      <c r="F20" s="54">
        <f t="shared" si="2"/>
        <v>0</v>
      </c>
      <c r="G20" s="54">
        <f t="shared" si="0"/>
        <v>0</v>
      </c>
      <c r="H20" s="49">
        <f t="shared" si="3"/>
        <v>0</v>
      </c>
      <c r="I20" s="54">
        <f t="shared" si="1"/>
        <v>0</v>
      </c>
      <c r="J20" s="54">
        <f t="shared" si="4"/>
        <v>0</v>
      </c>
      <c r="K20" s="45"/>
      <c r="L20" s="54"/>
      <c r="M20" s="54"/>
      <c r="N20" s="49"/>
      <c r="O20" s="54"/>
      <c r="P20" s="54"/>
      <c r="Q20" s="45"/>
      <c r="R20" s="54"/>
      <c r="S20" s="54"/>
      <c r="T20" s="49"/>
      <c r="U20" s="54"/>
      <c r="V20" s="54"/>
      <c r="W20" s="54"/>
      <c r="X20" s="54"/>
      <c r="Y20" s="54"/>
      <c r="Z20" s="49"/>
      <c r="AA20" s="54"/>
      <c r="AB20" s="54"/>
      <c r="AC20" s="54"/>
      <c r="AD20" s="54"/>
      <c r="AE20" s="54"/>
      <c r="AF20" s="49"/>
      <c r="AG20" s="54"/>
      <c r="AH20" s="54"/>
      <c r="AI20" s="54"/>
      <c r="AJ20" s="54"/>
      <c r="AK20" s="54"/>
      <c r="AL20" s="49"/>
      <c r="AM20" s="54"/>
      <c r="AN20" s="54"/>
      <c r="AO20" s="131"/>
      <c r="AP20" s="54"/>
      <c r="AQ20" s="54"/>
      <c r="AR20" s="49"/>
      <c r="AS20" s="54"/>
      <c r="AT20" s="54"/>
    </row>
    <row r="21" spans="1:46" s="112" customFormat="1" ht="15.75">
      <c r="A21" s="55" t="s">
        <v>29</v>
      </c>
      <c r="B21" s="51">
        <f>P45/$D$3</f>
        <v>0.11909232512036252</v>
      </c>
      <c r="C21" s="108">
        <f>2.71/12</f>
        <v>0.22583333333333333</v>
      </c>
      <c r="D21" s="324">
        <f>0.08/12</f>
        <v>0.006666666666666667</v>
      </c>
      <c r="E21" s="45">
        <v>0</v>
      </c>
      <c r="F21" s="54">
        <f t="shared" si="2"/>
        <v>0</v>
      </c>
      <c r="G21" s="54">
        <f t="shared" si="0"/>
        <v>0</v>
      </c>
      <c r="H21" s="49">
        <f t="shared" si="3"/>
        <v>0</v>
      </c>
      <c r="I21" s="54">
        <f t="shared" si="1"/>
        <v>0</v>
      </c>
      <c r="J21" s="54">
        <f t="shared" si="4"/>
        <v>0</v>
      </c>
      <c r="K21" s="45"/>
      <c r="L21" s="54"/>
      <c r="M21" s="54"/>
      <c r="N21" s="49"/>
      <c r="O21" s="54"/>
      <c r="P21" s="54"/>
      <c r="Q21" s="45"/>
      <c r="R21" s="54"/>
      <c r="S21" s="54"/>
      <c r="T21" s="49"/>
      <c r="U21" s="54"/>
      <c r="V21" s="54"/>
      <c r="W21" s="54"/>
      <c r="X21" s="54"/>
      <c r="Y21" s="54"/>
      <c r="Z21" s="49"/>
      <c r="AA21" s="54"/>
      <c r="AB21" s="54"/>
      <c r="AC21" s="54"/>
      <c r="AD21" s="54"/>
      <c r="AE21" s="54"/>
      <c r="AF21" s="49"/>
      <c r="AG21" s="54"/>
      <c r="AH21" s="54"/>
      <c r="AI21" s="54"/>
      <c r="AJ21" s="54"/>
      <c r="AK21" s="54"/>
      <c r="AL21" s="49"/>
      <c r="AM21" s="54"/>
      <c r="AN21" s="54"/>
      <c r="AO21" s="131"/>
      <c r="AP21" s="54"/>
      <c r="AQ21" s="54"/>
      <c r="AR21" s="49"/>
      <c r="AS21" s="54"/>
      <c r="AT21" s="54"/>
    </row>
    <row r="22" spans="1:46" s="112" customFormat="1" ht="15.75">
      <c r="A22" s="55" t="s">
        <v>211</v>
      </c>
      <c r="B22" s="54">
        <f>Q45/$D$3</f>
        <v>0.015366751628433872</v>
      </c>
      <c r="C22" s="179">
        <f>2.21/12</f>
        <v>0.18416666666666667</v>
      </c>
      <c r="D22" s="339">
        <f>0.97/12</f>
        <v>0.08083333333333333</v>
      </c>
      <c r="E22" s="54"/>
      <c r="F22" s="54">
        <f>$F$6*(IF($C22-$D22&lt;0,0,ABS($C22-$D22)))</f>
        <v>0</v>
      </c>
      <c r="G22" s="54">
        <f t="shared" si="0"/>
        <v>0</v>
      </c>
      <c r="H22" s="49">
        <f>F$8*$B22</f>
        <v>0</v>
      </c>
      <c r="I22" s="54">
        <f>G22+H22</f>
        <v>0</v>
      </c>
      <c r="J22" s="54">
        <f>IF(E22-I22&gt;0,0,ABS(E22-I22))</f>
        <v>0</v>
      </c>
      <c r="L22" s="54"/>
      <c r="M22" s="54"/>
      <c r="N22" s="49"/>
      <c r="O22" s="54"/>
      <c r="P22" s="54"/>
      <c r="R22" s="54"/>
      <c r="S22" s="54"/>
      <c r="T22" s="49"/>
      <c r="U22" s="54"/>
      <c r="V22" s="54"/>
      <c r="X22" s="54"/>
      <c r="Y22" s="54"/>
      <c r="Z22" s="49"/>
      <c r="AA22" s="54"/>
      <c r="AB22" s="54"/>
      <c r="AD22" s="54"/>
      <c r="AE22" s="54"/>
      <c r="AF22" s="49"/>
      <c r="AG22" s="54"/>
      <c r="AH22" s="54"/>
      <c r="AJ22" s="54"/>
      <c r="AK22" s="54"/>
      <c r="AL22" s="121"/>
      <c r="AM22" s="54"/>
      <c r="AN22" s="54"/>
      <c r="AP22" s="54"/>
      <c r="AQ22" s="54"/>
      <c r="AR22" s="121"/>
      <c r="AS22" s="54"/>
      <c r="AT22" s="54"/>
    </row>
    <row r="23" spans="1:46" s="120" customFormat="1" ht="15.75">
      <c r="A23" s="53" t="s">
        <v>34</v>
      </c>
      <c r="B23" s="53">
        <f aca="true" t="shared" si="5" ref="B23:J23">SUM(B11:B22)</f>
        <v>4.110606060606061</v>
      </c>
      <c r="C23" s="53">
        <f t="shared" si="5"/>
        <v>5.920833333333334</v>
      </c>
      <c r="D23" s="53">
        <f t="shared" si="5"/>
        <v>1.1224999999999998</v>
      </c>
      <c r="E23" s="53">
        <f t="shared" si="5"/>
        <v>0</v>
      </c>
      <c r="F23" s="53">
        <f t="shared" si="5"/>
        <v>0</v>
      </c>
      <c r="G23" s="53">
        <f t="shared" si="5"/>
        <v>0</v>
      </c>
      <c r="H23" s="53">
        <f t="shared" si="5"/>
        <v>0</v>
      </c>
      <c r="I23" s="53">
        <f t="shared" si="5"/>
        <v>0</v>
      </c>
      <c r="J23" s="53">
        <f t="shared" si="5"/>
        <v>0</v>
      </c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</row>
    <row r="24" spans="1:46" s="120" customFormat="1" ht="15.7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</row>
    <row r="25" spans="4:29" s="112" customFormat="1" ht="15.75">
      <c r="D25" s="52"/>
      <c r="E25" s="52"/>
      <c r="J25" s="49"/>
      <c r="K25" s="49"/>
      <c r="P25" s="49"/>
      <c r="Q25" s="49"/>
      <c r="V25" s="49"/>
      <c r="W25" s="49"/>
      <c r="AB25" s="49"/>
      <c r="AC25" s="49"/>
    </row>
    <row r="26" spans="1:52" s="148" customFormat="1" ht="18">
      <c r="A26" s="141" t="s">
        <v>35</v>
      </c>
      <c r="B26" s="142"/>
      <c r="C26" s="146"/>
      <c r="D26" s="147"/>
      <c r="E26" s="147"/>
      <c r="F26" s="382" t="s">
        <v>120</v>
      </c>
      <c r="G26" s="383"/>
      <c r="H26" s="383"/>
      <c r="I26" s="383"/>
      <c r="J26" s="383"/>
      <c r="K26" s="383"/>
      <c r="L26" s="384" t="s">
        <v>121</v>
      </c>
      <c r="M26" s="383"/>
      <c r="N26" s="383"/>
      <c r="O26" s="383"/>
      <c r="P26" s="383"/>
      <c r="Q26" s="383"/>
      <c r="R26" s="196"/>
      <c r="S26" s="385" t="s">
        <v>73</v>
      </c>
      <c r="T26" s="386"/>
      <c r="U26" s="386"/>
      <c r="V26" s="386"/>
      <c r="W26" s="386"/>
      <c r="X26" s="386"/>
      <c r="Y26" s="232"/>
      <c r="Z26" s="234"/>
      <c r="AA26" s="235"/>
      <c r="AB26" s="235"/>
      <c r="AC26" s="235"/>
      <c r="AD26" s="235"/>
      <c r="AE26" s="235"/>
      <c r="AF26" s="235"/>
      <c r="AG26" s="232"/>
      <c r="AH26" s="235"/>
      <c r="AI26" s="235"/>
      <c r="AJ26" s="235"/>
      <c r="AK26" s="236"/>
      <c r="AL26" s="236"/>
      <c r="AM26" s="236"/>
      <c r="AN26" s="236"/>
      <c r="AO26" s="236"/>
      <c r="AP26" s="236"/>
      <c r="AQ26" s="236"/>
      <c r="AR26" s="236"/>
      <c r="AS26" s="236"/>
      <c r="AT26" s="236"/>
      <c r="AU26" s="237"/>
      <c r="AV26" s="237"/>
      <c r="AW26" s="237"/>
      <c r="AX26" s="237"/>
      <c r="AY26" s="237"/>
      <c r="AZ26" s="237"/>
    </row>
    <row r="27" spans="1:38" s="140" customFormat="1" ht="72.75" customHeight="1">
      <c r="A27" s="129"/>
      <c r="B27" s="129"/>
      <c r="C27" s="149" t="s">
        <v>8</v>
      </c>
      <c r="D27" s="149" t="s">
        <v>9</v>
      </c>
      <c r="E27" s="150"/>
      <c r="F27" s="116" t="s">
        <v>207</v>
      </c>
      <c r="G27" s="126" t="s">
        <v>0</v>
      </c>
      <c r="H27" s="116" t="s">
        <v>2</v>
      </c>
      <c r="I27" s="116" t="s">
        <v>3</v>
      </c>
      <c r="J27" s="116" t="s">
        <v>298</v>
      </c>
      <c r="K27" s="116" t="s">
        <v>299</v>
      </c>
      <c r="L27" s="129"/>
      <c r="M27" s="116" t="s">
        <v>209</v>
      </c>
      <c r="N27" s="126" t="s">
        <v>0</v>
      </c>
      <c r="O27" s="116" t="s">
        <v>299</v>
      </c>
      <c r="P27" s="116" t="s">
        <v>208</v>
      </c>
      <c r="Q27" s="126" t="s">
        <v>0</v>
      </c>
      <c r="S27" s="126" t="s">
        <v>122</v>
      </c>
      <c r="T27" s="116" t="s">
        <v>1</v>
      </c>
      <c r="U27" s="116" t="s">
        <v>4</v>
      </c>
      <c r="V27" s="126" t="s">
        <v>300</v>
      </c>
      <c r="W27" s="126" t="s">
        <v>123</v>
      </c>
      <c r="X27" s="126" t="s">
        <v>301</v>
      </c>
      <c r="Y27" s="116"/>
      <c r="Z27" s="126"/>
      <c r="AA27" s="116"/>
      <c r="AB27" s="116"/>
      <c r="AC27" s="126"/>
      <c r="AD27" s="126"/>
      <c r="AE27" s="126"/>
      <c r="AG27" s="83"/>
      <c r="AK27" s="42"/>
      <c r="AL27" s="45"/>
    </row>
    <row r="28" spans="1:39" ht="15.75">
      <c r="A28" s="110" t="s">
        <v>242</v>
      </c>
      <c r="B28" s="49"/>
      <c r="C28" s="51">
        <f>B23*D3</f>
        <v>2.2608333333333337</v>
      </c>
      <c r="E28" s="54"/>
      <c r="F28" s="54">
        <f>($F8+$L8+$R8+$X8+$AD8+$AJ8)-F29</f>
        <v>0</v>
      </c>
      <c r="G28" s="54">
        <f>F28*$C28</f>
        <v>0</v>
      </c>
      <c r="H28" s="112">
        <f>H23+N23+T23+Z23+AF23+AL23</f>
        <v>0</v>
      </c>
      <c r="I28" s="112"/>
      <c r="J28" s="49"/>
      <c r="K28" s="49">
        <f>G28*J31</f>
        <v>0</v>
      </c>
      <c r="L28" s="112"/>
      <c r="M28" s="54">
        <v>0</v>
      </c>
      <c r="N28" s="54">
        <f>M28*$C28</f>
        <v>0</v>
      </c>
      <c r="O28" s="49">
        <f>J31*N28</f>
        <v>0</v>
      </c>
      <c r="P28" s="341">
        <v>220.61</v>
      </c>
      <c r="Q28" s="54">
        <f>P28*$C28</f>
        <v>498.7624416666668</v>
      </c>
      <c r="S28" s="112">
        <f>F28+M28+P28</f>
        <v>220.61</v>
      </c>
      <c r="T28" s="49">
        <f>G28+N28+Q28</f>
        <v>498.7624416666668</v>
      </c>
      <c r="U28" s="49">
        <f>O28+K28</f>
        <v>0</v>
      </c>
      <c r="V28" s="49">
        <f>T28-U28</f>
        <v>498.7624416666668</v>
      </c>
      <c r="W28" s="49"/>
      <c r="X28" s="49"/>
      <c r="Y28" s="112"/>
      <c r="Z28" s="112"/>
      <c r="AA28" s="46"/>
      <c r="AB28" s="49"/>
      <c r="AC28" s="49"/>
      <c r="AD28" s="49"/>
      <c r="AE28" s="49"/>
      <c r="AG28" s="49"/>
      <c r="AK28" s="35"/>
      <c r="AL28" s="45"/>
      <c r="AM28" s="49"/>
    </row>
    <row r="29" spans="1:39" ht="15.75">
      <c r="A29" s="45" t="s">
        <v>243</v>
      </c>
      <c r="B29" s="49"/>
      <c r="C29" s="112"/>
      <c r="D29" s="54"/>
      <c r="E29" s="54"/>
      <c r="F29" s="54"/>
      <c r="G29" s="54"/>
      <c r="H29" s="112"/>
      <c r="I29" s="112"/>
      <c r="J29" s="49"/>
      <c r="K29" s="49"/>
      <c r="L29" s="112"/>
      <c r="M29" s="54">
        <v>0</v>
      </c>
      <c r="N29" s="54"/>
      <c r="O29" s="49"/>
      <c r="P29" s="112">
        <v>0</v>
      </c>
      <c r="Q29" s="54"/>
      <c r="S29" s="112"/>
      <c r="T29" s="49"/>
      <c r="U29" s="49"/>
      <c r="V29" s="49"/>
      <c r="W29" s="49"/>
      <c r="X29" s="49"/>
      <c r="Y29" s="112"/>
      <c r="Z29" s="112"/>
      <c r="AA29" s="46"/>
      <c r="AB29" s="49"/>
      <c r="AC29" s="49"/>
      <c r="AD29" s="49"/>
      <c r="AE29" s="49"/>
      <c r="AG29" s="49"/>
      <c r="AK29" s="45"/>
      <c r="AL29" s="45"/>
      <c r="AM29" s="49"/>
    </row>
    <row r="30" spans="1:39" s="45" customFormat="1" ht="15.75">
      <c r="A30" s="112" t="s">
        <v>50</v>
      </c>
      <c r="E30" s="51"/>
      <c r="F30" s="54">
        <f>F6+L6+R6+X6+AD6+AJ6</f>
        <v>0</v>
      </c>
      <c r="G30" s="54">
        <f>F30*($C23-$D23)</f>
        <v>0</v>
      </c>
      <c r="H30" s="112">
        <f>G23+M23+S23+Y23+AE23+AK23</f>
        <v>0</v>
      </c>
      <c r="J30" s="49"/>
      <c r="K30" s="49">
        <f>G30*J31</f>
        <v>0</v>
      </c>
      <c r="M30" s="54">
        <v>0</v>
      </c>
      <c r="N30" s="54">
        <f>M30*($C23-$D23)</f>
        <v>0</v>
      </c>
      <c r="O30" s="54">
        <f>J31*N30</f>
        <v>0</v>
      </c>
      <c r="P30" s="322">
        <v>0</v>
      </c>
      <c r="Q30" s="54">
        <f>P30*($C23-$D23)</f>
        <v>0</v>
      </c>
      <c r="R30" s="54"/>
      <c r="S30" s="112">
        <f>F30+M30+P30</f>
        <v>0</v>
      </c>
      <c r="T30" s="49">
        <f>G30+N30+Q30</f>
        <v>0</v>
      </c>
      <c r="U30" s="49">
        <f>O30+K30</f>
        <v>0</v>
      </c>
      <c r="V30" s="49">
        <f>T30-U30</f>
        <v>0</v>
      </c>
      <c r="W30" s="42"/>
      <c r="Y30" s="49"/>
      <c r="Z30" s="112"/>
      <c r="AA30" s="46"/>
      <c r="AB30" s="49"/>
      <c r="AC30" s="49"/>
      <c r="AD30" s="42"/>
      <c r="AM30" s="49"/>
    </row>
    <row r="31" spans="1:39" ht="15.75">
      <c r="A31" s="64" t="s">
        <v>73</v>
      </c>
      <c r="B31" s="49"/>
      <c r="D31" s="54"/>
      <c r="E31" s="54"/>
      <c r="F31" s="54">
        <f>SUM(F28:F30)</f>
        <v>0</v>
      </c>
      <c r="G31" s="54">
        <f>SUM(G28:G30)</f>
        <v>0</v>
      </c>
      <c r="H31" s="54">
        <f>SUM(H28:H30)</f>
        <v>0</v>
      </c>
      <c r="I31" s="112">
        <f>J23+AB23</f>
        <v>0</v>
      </c>
      <c r="J31" s="53"/>
      <c r="K31" s="54">
        <f>J31*G31</f>
        <v>0</v>
      </c>
      <c r="L31" s="112"/>
      <c r="M31" s="54">
        <f>SUM(M28:M30)</f>
        <v>0</v>
      </c>
      <c r="N31" s="54">
        <f>SUM(N28:N30)</f>
        <v>0</v>
      </c>
      <c r="O31" s="54">
        <f>SUM(O28:O30)</f>
        <v>0</v>
      </c>
      <c r="P31" s="54">
        <f>SUM(P28:P30)</f>
        <v>220.61</v>
      </c>
      <c r="Q31" s="54">
        <f>SUM(Q28:Q30)</f>
        <v>498.7624416666668</v>
      </c>
      <c r="S31" s="112">
        <f>SUM(S28:S30)</f>
        <v>220.61</v>
      </c>
      <c r="T31" s="49">
        <f>SUM(T28:T30)</f>
        <v>498.7624416666668</v>
      </c>
      <c r="U31" s="49">
        <f>SUM(U28:U30)</f>
        <v>0</v>
      </c>
      <c r="V31" s="49">
        <f>SUM(V28:V30)</f>
        <v>498.7624416666668</v>
      </c>
      <c r="W31" s="54">
        <f>(V31-Q31)*0.1+(Q31*0.02)</f>
        <v>9.975248833333337</v>
      </c>
      <c r="X31" s="49">
        <f>W31+V31</f>
        <v>508.73769050000016</v>
      </c>
      <c r="Y31" s="112"/>
      <c r="Z31" s="64"/>
      <c r="AA31" s="46"/>
      <c r="AB31" s="46"/>
      <c r="AC31" s="46"/>
      <c r="AD31" s="50"/>
      <c r="AE31" s="46"/>
      <c r="AG31" s="49"/>
      <c r="AK31" s="45"/>
      <c r="AL31" s="37"/>
      <c r="AM31" s="49"/>
    </row>
    <row r="32" spans="1:38" ht="15.75">
      <c r="A32" s="49"/>
      <c r="B32" s="49"/>
      <c r="C32" s="112"/>
      <c r="D32" s="54"/>
      <c r="E32" s="54"/>
      <c r="F32" s="54"/>
      <c r="G32" s="54"/>
      <c r="H32" s="112"/>
      <c r="I32" s="112"/>
      <c r="J32" s="54"/>
      <c r="K32" s="54"/>
      <c r="L32" s="112"/>
      <c r="M32" s="54"/>
      <c r="N32" s="54"/>
      <c r="O32" s="49"/>
      <c r="P32" s="54"/>
      <c r="Q32" s="54"/>
      <c r="R32" s="54"/>
      <c r="S32" s="112"/>
      <c r="T32" s="112"/>
      <c r="U32" s="49"/>
      <c r="V32" s="49"/>
      <c r="W32" s="49"/>
      <c r="X32" s="46"/>
      <c r="Y32" s="49"/>
      <c r="Z32" s="49"/>
      <c r="AA32" s="49"/>
      <c r="AF32" s="49"/>
      <c r="AG32" s="49"/>
      <c r="AK32" s="45"/>
      <c r="AL32" s="45"/>
    </row>
    <row r="33" spans="1:38" ht="15.75">
      <c r="A33" s="49" t="s">
        <v>124</v>
      </c>
      <c r="B33" s="49"/>
      <c r="C33" s="112"/>
      <c r="D33" s="54"/>
      <c r="E33" s="54"/>
      <c r="F33" s="54"/>
      <c r="G33" s="54"/>
      <c r="H33" s="112"/>
      <c r="I33" s="112"/>
      <c r="J33" s="54"/>
      <c r="K33" s="54"/>
      <c r="L33" s="112"/>
      <c r="M33" s="54"/>
      <c r="N33" s="54"/>
      <c r="O33" s="49"/>
      <c r="P33" s="54"/>
      <c r="Q33" s="54"/>
      <c r="R33" s="54"/>
      <c r="S33" s="112"/>
      <c r="T33" s="112"/>
      <c r="U33" s="49"/>
      <c r="V33" s="49"/>
      <c r="W33" s="49"/>
      <c r="X33" s="46"/>
      <c r="Y33" s="49"/>
      <c r="Z33" s="49"/>
      <c r="AG33" s="49"/>
      <c r="AK33" s="37"/>
      <c r="AL33" s="94"/>
    </row>
    <row r="34" spans="1:27" s="36" customFormat="1" ht="15.75">
      <c r="A34" s="37" t="s">
        <v>359</v>
      </c>
      <c r="C34" s="51"/>
      <c r="D34" s="51"/>
      <c r="E34" s="51"/>
      <c r="F34" s="37"/>
      <c r="G34" s="37"/>
      <c r="H34" s="54"/>
      <c r="I34" s="37"/>
      <c r="J34" s="54"/>
      <c r="K34" s="54"/>
      <c r="L34" s="49"/>
      <c r="M34" s="54"/>
      <c r="N34" s="54"/>
      <c r="O34" s="37"/>
      <c r="P34" s="37"/>
      <c r="Q34" s="49"/>
      <c r="R34" s="49"/>
      <c r="S34" s="46"/>
      <c r="T34" s="42"/>
      <c r="U34" s="45"/>
      <c r="V34" s="45"/>
      <c r="W34" s="45"/>
      <c r="X34" s="4"/>
      <c r="Y34" s="42"/>
      <c r="Z34" s="45"/>
      <c r="AA34" s="45"/>
    </row>
    <row r="35" spans="1:33" s="139" customFormat="1" ht="15.75">
      <c r="A35" s="143" t="s">
        <v>198</v>
      </c>
      <c r="B35" s="143"/>
      <c r="D35" s="136"/>
      <c r="E35" s="136"/>
      <c r="F35" s="136"/>
      <c r="G35" s="144"/>
      <c r="H35" s="136"/>
      <c r="I35" s="136"/>
      <c r="J35" s="136"/>
      <c r="K35" s="136"/>
      <c r="L35" s="136"/>
      <c r="M35" s="144"/>
      <c r="N35" s="136"/>
      <c r="O35" s="136"/>
      <c r="P35" s="136"/>
      <c r="Q35" s="136"/>
      <c r="R35" s="136"/>
      <c r="S35" s="144"/>
      <c r="T35" s="136"/>
      <c r="U35" s="136"/>
      <c r="V35" s="137"/>
      <c r="W35" s="137"/>
      <c r="X35" s="137"/>
      <c r="Y35" s="138"/>
      <c r="Z35" s="137"/>
      <c r="AA35" s="137"/>
      <c r="AF35" s="137"/>
      <c r="AG35" s="137"/>
    </row>
    <row r="36" spans="1:33" ht="15.75">
      <c r="A36" s="46"/>
      <c r="B36" s="46"/>
      <c r="C36" s="46"/>
      <c r="F36" s="53" t="s">
        <v>89</v>
      </c>
      <c r="G36" s="53" t="s">
        <v>90</v>
      </c>
      <c r="H36" s="53" t="s">
        <v>91</v>
      </c>
      <c r="I36" s="53" t="s">
        <v>92</v>
      </c>
      <c r="J36" s="53" t="s">
        <v>23</v>
      </c>
      <c r="K36" s="53" t="s">
        <v>93</v>
      </c>
      <c r="L36" s="53" t="s">
        <v>94</v>
      </c>
      <c r="M36" s="53" t="s">
        <v>95</v>
      </c>
      <c r="N36" s="53" t="s">
        <v>96</v>
      </c>
      <c r="O36" s="53" t="s">
        <v>97</v>
      </c>
      <c r="P36" s="53" t="s">
        <v>98</v>
      </c>
      <c r="Q36" s="53" t="s">
        <v>99</v>
      </c>
      <c r="R36" s="53" t="s">
        <v>73</v>
      </c>
      <c r="T36" s="4" t="s">
        <v>376</v>
      </c>
      <c r="U36" s="45"/>
      <c r="V36" s="4"/>
      <c r="Y36" s="52"/>
      <c r="AF36" s="49"/>
      <c r="AG36" s="49"/>
    </row>
    <row r="37" spans="2:33" ht="15.75">
      <c r="B37" s="46"/>
      <c r="C37" s="46"/>
      <c r="F37" s="53"/>
      <c r="G37" s="50"/>
      <c r="H37" s="50"/>
      <c r="I37" s="53"/>
      <c r="J37" s="50"/>
      <c r="K37" s="50"/>
      <c r="L37" s="50"/>
      <c r="M37" s="50"/>
      <c r="N37" s="53"/>
      <c r="O37" s="50"/>
      <c r="P37" s="53"/>
      <c r="Q37" s="50"/>
      <c r="R37" s="53"/>
      <c r="T37" s="4" t="s">
        <v>81</v>
      </c>
      <c r="U37" s="94"/>
      <c r="V37" s="45"/>
      <c r="Y37" s="52"/>
      <c r="AF37" s="49"/>
      <c r="AG37" s="49"/>
    </row>
    <row r="38" spans="1:33" ht="15.75">
      <c r="A38" s="46" t="s">
        <v>343</v>
      </c>
      <c r="B38" s="46"/>
      <c r="C38" s="151"/>
      <c r="F38" s="322">
        <v>0.19</v>
      </c>
      <c r="G38" s="322">
        <v>0.82</v>
      </c>
      <c r="H38" s="322">
        <v>1.14</v>
      </c>
      <c r="I38" s="322">
        <v>2.93</v>
      </c>
      <c r="J38" s="322">
        <v>4.62</v>
      </c>
      <c r="K38" s="322">
        <v>7.07</v>
      </c>
      <c r="L38" s="322">
        <v>7.22</v>
      </c>
      <c r="M38" s="322">
        <v>2.18</v>
      </c>
      <c r="N38" s="322">
        <v>2.63</v>
      </c>
      <c r="O38" s="322">
        <v>2.25</v>
      </c>
      <c r="P38" s="322">
        <v>0.93</v>
      </c>
      <c r="Q38" s="322">
        <v>0.12</v>
      </c>
      <c r="R38" s="45">
        <f>SUM(F38:Q38)</f>
        <v>32.099999999999994</v>
      </c>
      <c r="T38" s="45" t="s">
        <v>372</v>
      </c>
      <c r="U38" s="45"/>
      <c r="V38" s="324">
        <v>1.73</v>
      </c>
      <c r="W38" s="49"/>
      <c r="X38" s="49"/>
      <c r="Y38" s="52"/>
      <c r="AE38" s="52"/>
      <c r="AF38" s="49"/>
      <c r="AG38" s="49"/>
    </row>
    <row r="39" spans="1:33" ht="15.75">
      <c r="A39" s="46" t="s">
        <v>100</v>
      </c>
      <c r="B39" s="46"/>
      <c r="C39" s="49"/>
      <c r="F39" s="45">
        <f>F38/$R38</f>
        <v>0.0059190031152647985</v>
      </c>
      <c r="G39" s="45">
        <f aca="true" t="shared" si="6" ref="G39:Q39">G38/$R38</f>
        <v>0.025545171339563865</v>
      </c>
      <c r="H39" s="45">
        <f t="shared" si="6"/>
        <v>0.03551401869158879</v>
      </c>
      <c r="I39" s="45">
        <f t="shared" si="6"/>
        <v>0.09127725856697821</v>
      </c>
      <c r="J39" s="45">
        <f t="shared" si="6"/>
        <v>0.14392523364485985</v>
      </c>
      <c r="K39" s="45">
        <f t="shared" si="6"/>
        <v>0.22024922118380066</v>
      </c>
      <c r="L39" s="45">
        <f t="shared" si="6"/>
        <v>0.22492211838006235</v>
      </c>
      <c r="M39" s="45">
        <f t="shared" si="6"/>
        <v>0.0679127725856698</v>
      </c>
      <c r="N39" s="45">
        <f t="shared" si="6"/>
        <v>0.08193146417445483</v>
      </c>
      <c r="O39" s="45">
        <f t="shared" si="6"/>
        <v>0.07009345794392524</v>
      </c>
      <c r="P39" s="45">
        <f t="shared" si="6"/>
        <v>0.028971962616822437</v>
      </c>
      <c r="Q39" s="45">
        <f t="shared" si="6"/>
        <v>0.0037383177570093464</v>
      </c>
      <c r="R39" s="45">
        <f>SUM(F39:Q39)</f>
        <v>1</v>
      </c>
      <c r="T39" s="45" t="s">
        <v>373</v>
      </c>
      <c r="U39" s="4"/>
      <c r="V39" s="324">
        <v>59.03</v>
      </c>
      <c r="W39" s="49"/>
      <c r="X39" s="49"/>
      <c r="Y39" s="52"/>
      <c r="AE39" s="52"/>
      <c r="AF39" s="49"/>
      <c r="AG39" s="49"/>
    </row>
    <row r="40" spans="1:33" ht="15.75" thickBot="1">
      <c r="A40" s="46"/>
      <c r="B40" s="46"/>
      <c r="C40" s="49"/>
      <c r="F40" s="49"/>
      <c r="G40" s="52"/>
      <c r="H40" s="49"/>
      <c r="I40" s="49"/>
      <c r="J40" s="49"/>
      <c r="K40" s="49"/>
      <c r="L40" s="49"/>
      <c r="M40" s="52"/>
      <c r="N40" s="49"/>
      <c r="O40" s="49"/>
      <c r="P40" s="49"/>
      <c r="Q40" s="49"/>
      <c r="R40" s="49"/>
      <c r="T40" s="45" t="s">
        <v>374</v>
      </c>
      <c r="U40" s="4"/>
      <c r="V40" s="324">
        <v>209.98</v>
      </c>
      <c r="W40" s="49"/>
      <c r="X40" s="49"/>
      <c r="Y40" s="52"/>
      <c r="AE40" s="52"/>
      <c r="AF40" s="49"/>
      <c r="AG40" s="49"/>
    </row>
    <row r="41" spans="1:33" ht="15.75" thickBot="1">
      <c r="A41" s="136" t="s">
        <v>197</v>
      </c>
      <c r="B41" s="136"/>
      <c r="C41" s="137"/>
      <c r="D41" s="137"/>
      <c r="E41" s="137"/>
      <c r="F41" s="340">
        <v>27.13</v>
      </c>
      <c r="G41" s="145" t="s">
        <v>10</v>
      </c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T41" s="45"/>
      <c r="U41" s="94"/>
      <c r="V41" s="317"/>
      <c r="W41" s="49"/>
      <c r="X41" s="49"/>
      <c r="Y41" s="52"/>
      <c r="AE41" s="52"/>
      <c r="AF41" s="49"/>
      <c r="AG41" s="49"/>
    </row>
    <row r="42" spans="1:33" ht="15.75">
      <c r="A42" s="46"/>
      <c r="B42" s="46"/>
      <c r="C42" s="49"/>
      <c r="F42" s="53" t="s">
        <v>89</v>
      </c>
      <c r="G42" s="53" t="s">
        <v>90</v>
      </c>
      <c r="H42" s="53" t="s">
        <v>91</v>
      </c>
      <c r="I42" s="53" t="s">
        <v>92</v>
      </c>
      <c r="J42" s="53" t="s">
        <v>23</v>
      </c>
      <c r="K42" s="53" t="s">
        <v>93</v>
      </c>
      <c r="L42" s="53" t="s">
        <v>94</v>
      </c>
      <c r="M42" s="53" t="s">
        <v>95</v>
      </c>
      <c r="N42" s="53" t="s">
        <v>96</v>
      </c>
      <c r="O42" s="53" t="s">
        <v>97</v>
      </c>
      <c r="P42" s="53" t="s">
        <v>98</v>
      </c>
      <c r="Q42" s="53" t="s">
        <v>99</v>
      </c>
      <c r="R42" s="53" t="s">
        <v>73</v>
      </c>
      <c r="T42" s="4" t="s">
        <v>15</v>
      </c>
      <c r="U42" s="45"/>
      <c r="V42" s="46">
        <f>SUM(V38:V41)</f>
        <v>270.74</v>
      </c>
      <c r="W42" s="49"/>
      <c r="X42" s="49"/>
      <c r="Y42" s="52"/>
      <c r="AE42" s="52"/>
      <c r="AF42" s="49"/>
      <c r="AG42" s="49"/>
    </row>
    <row r="43" spans="1:33" ht="15.75">
      <c r="A43" s="46"/>
      <c r="B43" s="46"/>
      <c r="C43" s="49"/>
      <c r="F43" s="53"/>
      <c r="G43" s="50"/>
      <c r="H43" s="50"/>
      <c r="I43" s="53"/>
      <c r="J43" s="50"/>
      <c r="K43" s="50"/>
      <c r="L43" s="50"/>
      <c r="M43" s="50"/>
      <c r="N43" s="53"/>
      <c r="O43" s="50"/>
      <c r="P43" s="53"/>
      <c r="Q43" s="50"/>
      <c r="R43" s="53"/>
      <c r="T43" s="318"/>
      <c r="U43" s="318"/>
      <c r="V43" s="318"/>
      <c r="W43" s="318"/>
      <c r="X43" s="49"/>
      <c r="Y43" s="52"/>
      <c r="Z43" s="49"/>
      <c r="AA43" s="49"/>
      <c r="AB43" s="49"/>
      <c r="AC43" s="49"/>
      <c r="AD43" s="49"/>
      <c r="AE43" s="52"/>
      <c r="AF43" s="49"/>
      <c r="AG43" s="49"/>
    </row>
    <row r="44" spans="1:33" ht="15.75" customHeight="1">
      <c r="A44" s="46" t="s">
        <v>7</v>
      </c>
      <c r="B44" s="46"/>
      <c r="C44" s="49"/>
      <c r="F44" s="49">
        <f>F39*$F41</f>
        <v>0.160582554517134</v>
      </c>
      <c r="G44" s="49">
        <f aca="true" t="shared" si="7" ref="G44:Q44">G39*$F41</f>
        <v>0.6930404984423676</v>
      </c>
      <c r="H44" s="49">
        <f t="shared" si="7"/>
        <v>0.9634953271028037</v>
      </c>
      <c r="I44" s="49">
        <f t="shared" si="7"/>
        <v>2.476352024922119</v>
      </c>
      <c r="J44" s="49">
        <f t="shared" si="7"/>
        <v>3.9046915887850475</v>
      </c>
      <c r="K44" s="49">
        <f t="shared" si="7"/>
        <v>5.975361370716512</v>
      </c>
      <c r="L44" s="49">
        <f t="shared" si="7"/>
        <v>6.102137071651091</v>
      </c>
      <c r="M44" s="49">
        <f t="shared" si="7"/>
        <v>1.8424735202492217</v>
      </c>
      <c r="N44" s="49">
        <f t="shared" si="7"/>
        <v>2.22280062305296</v>
      </c>
      <c r="O44" s="49">
        <f t="shared" si="7"/>
        <v>1.9016355140186918</v>
      </c>
      <c r="P44" s="49">
        <f t="shared" si="7"/>
        <v>0.7860093457943927</v>
      </c>
      <c r="Q44" s="49">
        <f t="shared" si="7"/>
        <v>0.10142056074766356</v>
      </c>
      <c r="R44" s="49">
        <f>SUM(F44:Q44)</f>
        <v>27.130000000000006</v>
      </c>
      <c r="T44" s="318"/>
      <c r="U44" s="318"/>
      <c r="V44" s="318"/>
      <c r="W44" s="318"/>
      <c r="X44" s="49"/>
      <c r="Y44" s="52"/>
      <c r="Z44" s="49"/>
      <c r="AA44" s="49"/>
      <c r="AB44" s="49"/>
      <c r="AC44" s="49"/>
      <c r="AD44" s="49"/>
      <c r="AE44" s="52"/>
      <c r="AF44" s="49"/>
      <c r="AG44" s="49"/>
    </row>
    <row r="45" spans="1:33" ht="15.75">
      <c r="A45" s="46" t="s">
        <v>6</v>
      </c>
      <c r="B45" s="46"/>
      <c r="C45" s="49"/>
      <c r="F45" s="49">
        <f aca="true" t="shared" si="8" ref="F45:Q45">F44/12</f>
        <v>0.0133818795430945</v>
      </c>
      <c r="G45" s="49">
        <f t="shared" si="8"/>
        <v>0.0577533748701973</v>
      </c>
      <c r="H45" s="49">
        <f t="shared" si="8"/>
        <v>0.08029127725856698</v>
      </c>
      <c r="I45" s="49">
        <f t="shared" si="8"/>
        <v>0.20636266874350992</v>
      </c>
      <c r="J45" s="49">
        <f t="shared" si="8"/>
        <v>0.3253909657320873</v>
      </c>
      <c r="K45" s="49">
        <f t="shared" si="8"/>
        <v>0.4979467808930427</v>
      </c>
      <c r="L45" s="49">
        <f t="shared" si="8"/>
        <v>0.508511422637591</v>
      </c>
      <c r="M45" s="49">
        <f t="shared" si="8"/>
        <v>0.1535394600207685</v>
      </c>
      <c r="N45" s="49">
        <f t="shared" si="8"/>
        <v>0.18523338525441332</v>
      </c>
      <c r="O45" s="49">
        <f t="shared" si="8"/>
        <v>0.15846962616822433</v>
      </c>
      <c r="P45" s="49">
        <f t="shared" si="8"/>
        <v>0.0655007788161994</v>
      </c>
      <c r="Q45" s="49">
        <f t="shared" si="8"/>
        <v>0.00845171339563863</v>
      </c>
      <c r="R45" s="49">
        <f>SUM(F45:Q45)</f>
        <v>2.2608333333333333</v>
      </c>
      <c r="T45" s="318"/>
      <c r="U45" s="318"/>
      <c r="V45" s="318"/>
      <c r="W45" s="318"/>
      <c r="X45" s="49"/>
      <c r="Y45" s="52"/>
      <c r="Z45" s="49"/>
      <c r="AA45" s="49"/>
      <c r="AB45" s="49"/>
      <c r="AC45" s="49"/>
      <c r="AD45" s="49"/>
      <c r="AE45" s="52"/>
      <c r="AF45" s="49"/>
      <c r="AG45" s="49"/>
    </row>
    <row r="46" spans="22:33" ht="15.75">
      <c r="V46" s="49"/>
      <c r="W46" s="49"/>
      <c r="X46" s="49"/>
      <c r="Y46" s="52"/>
      <c r="Z46" s="49"/>
      <c r="AA46" s="49"/>
      <c r="AB46" s="49"/>
      <c r="AC46" s="49"/>
      <c r="AD46" s="49"/>
      <c r="AE46" s="52"/>
      <c r="AF46" s="49"/>
      <c r="AG46" s="49"/>
    </row>
    <row r="47" spans="22:33" ht="15.75">
      <c r="V47" s="49"/>
      <c r="W47" s="49"/>
      <c r="X47" s="49"/>
      <c r="Y47" s="52"/>
      <c r="Z47" s="49"/>
      <c r="AA47" s="49"/>
      <c r="AB47" s="49"/>
      <c r="AC47" s="49"/>
      <c r="AD47" s="49"/>
      <c r="AE47" s="52"/>
      <c r="AF47" s="49"/>
      <c r="AG47" s="49"/>
    </row>
    <row r="48" spans="22:33" ht="15.75">
      <c r="V48" s="49"/>
      <c r="W48" s="49"/>
      <c r="X48" s="49"/>
      <c r="Y48" s="52"/>
      <c r="Z48" s="49"/>
      <c r="AA48" s="49"/>
      <c r="AB48" s="49"/>
      <c r="AC48" s="49"/>
      <c r="AD48" s="49"/>
      <c r="AE48" s="52"/>
      <c r="AF48" s="49"/>
      <c r="AG48" s="49"/>
    </row>
    <row r="49" spans="22:33" ht="15.75">
      <c r="V49" s="49"/>
      <c r="W49" s="49"/>
      <c r="X49" s="49"/>
      <c r="Y49" s="52"/>
      <c r="Z49" s="49"/>
      <c r="AA49" s="49"/>
      <c r="AB49" s="49"/>
      <c r="AC49" s="49"/>
      <c r="AD49" s="49"/>
      <c r="AE49" s="52"/>
      <c r="AF49" s="49"/>
      <c r="AG49" s="49"/>
    </row>
    <row r="50" spans="22:33" ht="15.75">
      <c r="V50" s="49"/>
      <c r="W50" s="49"/>
      <c r="X50" s="49"/>
      <c r="Y50" s="52"/>
      <c r="Z50" s="49"/>
      <c r="AA50" s="49"/>
      <c r="AB50" s="49"/>
      <c r="AC50" s="49"/>
      <c r="AD50" s="49"/>
      <c r="AE50" s="52"/>
      <c r="AF50" s="49"/>
      <c r="AG50" s="49"/>
    </row>
    <row r="51" spans="2:33" ht="15.75">
      <c r="B51" s="112"/>
      <c r="S51" s="52"/>
      <c r="T51" s="49"/>
      <c r="V51" s="49"/>
      <c r="W51" s="49"/>
      <c r="X51" s="49"/>
      <c r="Y51" s="52"/>
      <c r="Z51" s="49"/>
      <c r="AA51" s="49"/>
      <c r="AB51" s="49"/>
      <c r="AC51" s="49"/>
      <c r="AD51" s="49"/>
      <c r="AE51" s="52"/>
      <c r="AF51" s="49"/>
      <c r="AG51" s="49"/>
    </row>
    <row r="52" spans="1:33" s="49" customFormat="1" ht="15.75">
      <c r="A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Z52" s="46"/>
      <c r="AA52" s="46"/>
      <c r="AB52" s="46"/>
      <c r="AC52" s="46"/>
      <c r="AD52" s="46"/>
      <c r="AE52" s="50"/>
      <c r="AF52" s="46"/>
      <c r="AG52" s="46"/>
    </row>
    <row r="53" spans="2:33" ht="15.75">
      <c r="B53" s="112"/>
      <c r="V53" s="49"/>
      <c r="W53" s="49"/>
      <c r="X53" s="49"/>
      <c r="Y53" s="52"/>
      <c r="Z53" s="49"/>
      <c r="AA53" s="49"/>
      <c r="AB53" s="49"/>
      <c r="AC53" s="49"/>
      <c r="AD53" s="49"/>
      <c r="AE53" s="52"/>
      <c r="AF53" s="49"/>
      <c r="AG53" s="49"/>
    </row>
    <row r="54" spans="2:33" ht="15.75">
      <c r="B54" s="112"/>
      <c r="V54" s="49"/>
      <c r="W54" s="49"/>
      <c r="X54" s="49"/>
      <c r="Y54" s="52"/>
      <c r="Z54" s="49"/>
      <c r="AA54" s="49"/>
      <c r="AB54" s="49"/>
      <c r="AC54" s="49"/>
      <c r="AD54" s="49"/>
      <c r="AE54" s="52"/>
      <c r="AF54" s="49"/>
      <c r="AG54" s="49"/>
    </row>
    <row r="55" spans="2:33" ht="15.75">
      <c r="B55" s="112"/>
      <c r="V55" s="49"/>
      <c r="W55" s="49"/>
      <c r="Y55" s="52"/>
      <c r="Z55" s="49"/>
      <c r="AA55" s="49"/>
      <c r="AB55" s="49"/>
      <c r="AC55" s="49"/>
      <c r="AD55" s="49"/>
      <c r="AE55" s="52"/>
      <c r="AF55" s="49"/>
      <c r="AG55" s="49"/>
    </row>
    <row r="56" spans="2:33" ht="15.75">
      <c r="B56" s="112"/>
      <c r="U56" s="112"/>
      <c r="V56" s="49"/>
      <c r="W56" s="49"/>
      <c r="X56" s="49"/>
      <c r="Y56" s="52"/>
      <c r="Z56" s="49"/>
      <c r="AA56" s="49"/>
      <c r="AB56" s="49"/>
      <c r="AC56" s="49"/>
      <c r="AD56" s="49"/>
      <c r="AE56" s="52"/>
      <c r="AF56" s="49"/>
      <c r="AG56" s="49"/>
    </row>
    <row r="57" ht="15.75">
      <c r="B57" s="112"/>
    </row>
    <row r="58" ht="15.75">
      <c r="B58" s="112"/>
    </row>
    <row r="59" ht="15.75">
      <c r="B59" s="112"/>
    </row>
    <row r="60" ht="15.75">
      <c r="B60" s="112"/>
    </row>
    <row r="61" ht="15.75">
      <c r="B61" s="112"/>
    </row>
    <row r="62" ht="15.75">
      <c r="B62" s="112"/>
    </row>
  </sheetData>
  <sheetProtection password="CC93" sheet="1" objects="1" scenarios="1"/>
  <mergeCells count="5">
    <mergeCell ref="S26:X26"/>
    <mergeCell ref="F26:K26"/>
    <mergeCell ref="L26:Q26"/>
    <mergeCell ref="A3:C3"/>
    <mergeCell ref="E5:J5"/>
  </mergeCells>
  <printOptions gridLines="1" horizontalCentered="1"/>
  <pageMargins left="0.75" right="0.25" top="0.75" bottom="0.75" header="0.5" footer="0.5"/>
  <pageSetup fitToHeight="1" fitToWidth="1" horizontalDpi="600" verticalDpi="600" orientation="landscape" paperSize="17" scale="74" r:id="rId3"/>
  <headerFooter alignWithMargins="0">
    <oddHeader>&amp;L&amp;D</oddHeader>
    <oddFooter>&amp;L&amp;F&amp;R&amp;A</oddFooter>
  </headerFooter>
  <colBreaks count="1" manualBreakCount="1">
    <brk id="46" max="65535" man="1"/>
  </col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62"/>
  <sheetViews>
    <sheetView zoomScale="75" zoomScaleNormal="75" zoomScaleSheetLayoutView="50" zoomScalePageLayoutView="0" workbookViewId="0" topLeftCell="A1">
      <selection activeCell="A7" sqref="A7"/>
    </sheetView>
  </sheetViews>
  <sheetFormatPr defaultColWidth="9.140625" defaultRowHeight="12.75"/>
  <cols>
    <col min="1" max="1" width="28.28125" style="110" customWidth="1"/>
    <col min="2" max="24" width="10.7109375" style="110" customWidth="1"/>
    <col min="25" max="25" width="8.7109375" style="110" customWidth="1"/>
    <col min="26" max="27" width="9.8515625" style="110" bestFit="1" customWidth="1"/>
    <col min="28" max="28" width="8.8515625" style="110" bestFit="1" customWidth="1"/>
    <col min="29" max="30" width="9.8515625" style="110" bestFit="1" customWidth="1"/>
    <col min="31" max="31" width="10.7109375" style="110" customWidth="1"/>
    <col min="32" max="33" width="9.8515625" style="110" bestFit="1" customWidth="1"/>
    <col min="34" max="34" width="7.421875" style="110" customWidth="1"/>
    <col min="35" max="35" width="11.7109375" style="110" customWidth="1"/>
    <col min="36" max="36" width="7.140625" style="110" bestFit="1" customWidth="1"/>
    <col min="37" max="37" width="8.7109375" style="110" customWidth="1"/>
    <col min="38" max="38" width="8.7109375" style="110" bestFit="1" customWidth="1"/>
    <col min="39" max="39" width="8.57421875" style="110" bestFit="1" customWidth="1"/>
    <col min="40" max="40" width="6.57421875" style="110" bestFit="1" customWidth="1"/>
    <col min="41" max="207" width="9.7109375" style="110" customWidth="1"/>
    <col min="208" max="16384" width="9.140625" style="110" customWidth="1"/>
  </cols>
  <sheetData>
    <row r="1" spans="1:33" ht="18">
      <c r="A1" s="60" t="s">
        <v>87</v>
      </c>
      <c r="B1" s="49" t="s">
        <v>266</v>
      </c>
      <c r="C1" s="49"/>
      <c r="D1" s="49"/>
      <c r="E1" s="49"/>
      <c r="F1" s="49"/>
      <c r="G1" s="52"/>
      <c r="H1" s="49"/>
      <c r="I1" s="49"/>
      <c r="J1" s="49"/>
      <c r="K1" s="49"/>
      <c r="L1" s="49"/>
      <c r="M1" s="52"/>
      <c r="O1" s="46"/>
      <c r="P1" s="46"/>
      <c r="Q1" s="46"/>
      <c r="R1" s="49"/>
      <c r="S1" s="52"/>
      <c r="T1" s="49"/>
      <c r="U1" s="49"/>
      <c r="V1" s="49"/>
      <c r="W1" s="49"/>
      <c r="X1" s="49"/>
      <c r="Y1" s="52"/>
      <c r="Z1" s="49"/>
      <c r="AA1" s="49"/>
      <c r="AB1" s="49"/>
      <c r="AC1" s="49"/>
      <c r="AD1" s="49"/>
      <c r="AE1" s="52"/>
      <c r="AF1" s="49"/>
      <c r="AG1" s="49"/>
    </row>
    <row r="2" spans="1:45" s="112" customFormat="1" ht="16.5" customHeight="1">
      <c r="A2" s="46" t="s">
        <v>264</v>
      </c>
      <c r="B2" s="46"/>
      <c r="C2" s="128"/>
      <c r="D2" s="123"/>
      <c r="E2" s="123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61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</row>
    <row r="3" spans="1:30" s="45" customFormat="1" ht="15.75">
      <c r="A3" s="389" t="s">
        <v>167</v>
      </c>
      <c r="B3" s="389"/>
      <c r="C3" s="389"/>
      <c r="D3" s="4">
        <v>0.55</v>
      </c>
      <c r="E3" s="56" t="s">
        <v>187</v>
      </c>
      <c r="F3" s="57"/>
      <c r="G3" s="57"/>
      <c r="H3" s="57"/>
      <c r="I3" s="57"/>
      <c r="J3" s="57"/>
      <c r="K3" s="57"/>
      <c r="L3" s="57"/>
      <c r="M3" s="57"/>
      <c r="P3" s="42"/>
      <c r="T3" s="42"/>
      <c r="Y3" s="42"/>
      <c r="AB3" s="4"/>
      <c r="AD3" s="54"/>
    </row>
    <row r="4" spans="1:33" s="242" customFormat="1" ht="18">
      <c r="A4" s="241" t="s">
        <v>194</v>
      </c>
      <c r="B4" s="241"/>
      <c r="E4" s="243"/>
      <c r="F4" s="243"/>
      <c r="G4" s="243"/>
      <c r="H4" s="243"/>
      <c r="I4" s="243"/>
      <c r="J4" s="243"/>
      <c r="K4" s="243"/>
      <c r="L4" s="243"/>
      <c r="M4" s="243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5"/>
    </row>
    <row r="5" spans="1:46" s="61" customFormat="1" ht="15.75" customHeight="1">
      <c r="A5" s="50"/>
      <c r="B5" s="50"/>
      <c r="C5" s="49"/>
      <c r="D5" s="50"/>
      <c r="E5" s="390"/>
      <c r="F5" s="391"/>
      <c r="G5" s="391"/>
      <c r="H5" s="391"/>
      <c r="I5" s="391"/>
      <c r="J5" s="391"/>
      <c r="K5" s="132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</row>
    <row r="6" spans="6:48" s="122" customFormat="1" ht="15">
      <c r="F6" s="54">
        <v>0</v>
      </c>
      <c r="G6" s="115" t="s">
        <v>191</v>
      </c>
      <c r="H6" s="115"/>
      <c r="I6" s="115"/>
      <c r="L6" s="54"/>
      <c r="M6" s="115"/>
      <c r="N6" s="115"/>
      <c r="O6" s="115"/>
      <c r="R6" s="54"/>
      <c r="S6" s="115"/>
      <c r="T6" s="115"/>
      <c r="U6" s="115"/>
      <c r="X6" s="54"/>
      <c r="Y6" s="115"/>
      <c r="Z6" s="115"/>
      <c r="AA6" s="115"/>
      <c r="AD6" s="54"/>
      <c r="AE6" s="115"/>
      <c r="AF6" s="115"/>
      <c r="AG6" s="115"/>
      <c r="AJ6" s="54"/>
      <c r="AK6" s="115"/>
      <c r="AL6" s="115"/>
      <c r="AM6" s="115"/>
      <c r="AP6" s="54"/>
      <c r="AQ6" s="115"/>
      <c r="AR6" s="115"/>
      <c r="AS6" s="115"/>
      <c r="AV6" s="115"/>
    </row>
    <row r="7" spans="6:48" s="122" customFormat="1" ht="15">
      <c r="F7" s="54">
        <v>0</v>
      </c>
      <c r="G7" s="115" t="s">
        <v>212</v>
      </c>
      <c r="H7" s="115"/>
      <c r="I7" s="115"/>
      <c r="L7" s="54"/>
      <c r="M7" s="115"/>
      <c r="N7" s="115"/>
      <c r="O7" s="115"/>
      <c r="R7" s="54"/>
      <c r="S7" s="115"/>
      <c r="T7" s="115"/>
      <c r="U7" s="115"/>
      <c r="X7" s="54"/>
      <c r="Y7" s="115"/>
      <c r="Z7" s="115"/>
      <c r="AA7" s="115"/>
      <c r="AD7" s="54"/>
      <c r="AE7" s="115"/>
      <c r="AF7" s="115"/>
      <c r="AG7" s="115"/>
      <c r="AJ7" s="54"/>
      <c r="AK7" s="115"/>
      <c r="AL7" s="115"/>
      <c r="AM7" s="115"/>
      <c r="AP7" s="54"/>
      <c r="AQ7" s="115"/>
      <c r="AR7" s="115"/>
      <c r="AS7" s="115"/>
      <c r="AV7" s="112"/>
    </row>
    <row r="8" spans="3:29" s="112" customFormat="1" ht="15">
      <c r="C8" s="130"/>
      <c r="D8" s="49"/>
      <c r="E8" s="49"/>
      <c r="F8" s="112">
        <v>0</v>
      </c>
      <c r="G8" s="112" t="s">
        <v>200</v>
      </c>
      <c r="J8" s="49"/>
      <c r="K8" s="49"/>
      <c r="L8" s="51"/>
      <c r="P8" s="49"/>
      <c r="Q8" s="49"/>
      <c r="R8" s="54"/>
      <c r="V8" s="49"/>
      <c r="W8" s="49"/>
      <c r="X8" s="54"/>
      <c r="AB8" s="49"/>
      <c r="AC8" s="49"/>
    </row>
    <row r="9" spans="3:43" s="112" customFormat="1" ht="15">
      <c r="C9" s="130"/>
      <c r="F9" s="54">
        <f>SUM(F6:F8)</f>
        <v>0</v>
      </c>
      <c r="G9" s="49" t="s">
        <v>201</v>
      </c>
      <c r="H9" s="49"/>
      <c r="I9" s="49"/>
      <c r="L9" s="54"/>
      <c r="M9" s="49"/>
      <c r="N9" s="49"/>
      <c r="O9" s="49"/>
      <c r="R9" s="54"/>
      <c r="S9" s="49"/>
      <c r="T9" s="49"/>
      <c r="U9" s="49"/>
      <c r="X9" s="54"/>
      <c r="Y9" s="49"/>
      <c r="Z9" s="49"/>
      <c r="AA9" s="49"/>
      <c r="AD9" s="54"/>
      <c r="AE9" s="49"/>
      <c r="AF9" s="49"/>
      <c r="AJ9" s="54"/>
      <c r="AK9" s="49"/>
      <c r="AP9" s="54"/>
      <c r="AQ9" s="49"/>
    </row>
    <row r="10" spans="1:46" s="127" customFormat="1" ht="93.75" customHeight="1">
      <c r="A10" s="125" t="s">
        <v>88</v>
      </c>
      <c r="B10" s="50" t="s">
        <v>265</v>
      </c>
      <c r="C10" s="124" t="s">
        <v>206</v>
      </c>
      <c r="D10" s="126" t="s">
        <v>196</v>
      </c>
      <c r="E10" s="125" t="s">
        <v>19</v>
      </c>
      <c r="F10" s="126" t="s">
        <v>362</v>
      </c>
      <c r="G10" s="126" t="s">
        <v>217</v>
      </c>
      <c r="H10" s="126" t="s">
        <v>192</v>
      </c>
      <c r="I10" s="126" t="s">
        <v>195</v>
      </c>
      <c r="J10" s="124" t="s">
        <v>193</v>
      </c>
      <c r="K10" s="125"/>
      <c r="L10" s="126"/>
      <c r="M10" s="126"/>
      <c r="N10" s="126"/>
      <c r="O10" s="126"/>
      <c r="P10" s="124"/>
      <c r="Q10" s="125"/>
      <c r="R10" s="126"/>
      <c r="S10" s="126"/>
      <c r="T10" s="126"/>
      <c r="U10" s="126"/>
      <c r="V10" s="124"/>
      <c r="W10" s="125"/>
      <c r="X10" s="126"/>
      <c r="Y10" s="126"/>
      <c r="Z10" s="126"/>
      <c r="AA10" s="126"/>
      <c r="AB10" s="124"/>
      <c r="AC10" s="125"/>
      <c r="AD10" s="126"/>
      <c r="AE10" s="126"/>
      <c r="AF10" s="126"/>
      <c r="AG10" s="126"/>
      <c r="AH10" s="124"/>
      <c r="AI10" s="125"/>
      <c r="AJ10" s="126"/>
      <c r="AK10" s="126"/>
      <c r="AL10" s="126"/>
      <c r="AM10" s="126"/>
      <c r="AN10" s="124"/>
      <c r="AO10" s="125"/>
      <c r="AP10" s="126"/>
      <c r="AQ10" s="126"/>
      <c r="AR10" s="126"/>
      <c r="AS10" s="126"/>
      <c r="AT10" s="124"/>
    </row>
    <row r="11" spans="1:46" s="127" customFormat="1" ht="15.75" customHeight="1">
      <c r="A11" s="55" t="s">
        <v>180</v>
      </c>
      <c r="B11" s="51">
        <f>F45/$D$3</f>
        <v>0.02592863270947857</v>
      </c>
      <c r="C11" s="179">
        <f>2.48/12</f>
        <v>0.20666666666666667</v>
      </c>
      <c r="D11" s="338">
        <f>0/12</f>
        <v>0</v>
      </c>
      <c r="E11" s="126"/>
      <c r="F11" s="54">
        <f>$F$6*(IF($C11-$D11&lt;0,0,ABS($C11-$D11)))</f>
        <v>0</v>
      </c>
      <c r="G11" s="54">
        <f aca="true" t="shared" si="0" ref="G11:G22">F11/$D$3</f>
        <v>0</v>
      </c>
      <c r="H11" s="49">
        <f>F$8*$B11</f>
        <v>0</v>
      </c>
      <c r="I11" s="54">
        <f>G11+H11</f>
        <v>0</v>
      </c>
      <c r="J11" s="54">
        <f>IF(E11-I11&gt;0,0,ABS(E11-I11))</f>
        <v>0</v>
      </c>
      <c r="K11" s="50"/>
      <c r="L11" s="54"/>
      <c r="M11" s="54"/>
      <c r="N11" s="49"/>
      <c r="O11" s="54"/>
      <c r="P11" s="54"/>
      <c r="Q11" s="50"/>
      <c r="R11" s="54"/>
      <c r="S11" s="54"/>
      <c r="T11" s="49"/>
      <c r="U11" s="54"/>
      <c r="V11" s="54"/>
      <c r="W11" s="50"/>
      <c r="X11" s="54"/>
      <c r="Y11" s="54"/>
      <c r="Z11" s="49"/>
      <c r="AA11" s="54"/>
      <c r="AB11" s="54"/>
      <c r="AC11" s="50"/>
      <c r="AD11" s="54"/>
      <c r="AE11" s="54"/>
      <c r="AF11" s="49"/>
      <c r="AG11" s="54"/>
      <c r="AH11" s="54"/>
      <c r="AI11" s="50"/>
      <c r="AJ11" s="126"/>
      <c r="AK11" s="126"/>
      <c r="AL11" s="126"/>
      <c r="AM11" s="126"/>
      <c r="AN11" s="124"/>
      <c r="AO11" s="50"/>
      <c r="AP11" s="126"/>
      <c r="AQ11" s="126"/>
      <c r="AR11" s="126"/>
      <c r="AS11" s="126"/>
      <c r="AT11" s="124"/>
    </row>
    <row r="12" spans="1:46" s="112" customFormat="1" ht="15.75">
      <c r="A12" s="55" t="s">
        <v>21</v>
      </c>
      <c r="B12" s="51">
        <f>G45/$D$3</f>
        <v>0.06611801340917034</v>
      </c>
      <c r="C12" s="108">
        <f>3.28/12</f>
        <v>0.2733333333333333</v>
      </c>
      <c r="D12" s="339">
        <f>0/12</f>
        <v>0</v>
      </c>
      <c r="E12" s="54"/>
      <c r="F12" s="54">
        <f>$F$6*(IF($C12-$D12&lt;0,0,ABS($C12-$D12)))</f>
        <v>0</v>
      </c>
      <c r="G12" s="54">
        <f t="shared" si="0"/>
        <v>0</v>
      </c>
      <c r="H12" s="49">
        <f>F$8*$B12</f>
        <v>0</v>
      </c>
      <c r="I12" s="54">
        <f aca="true" t="shared" si="1" ref="I12:I21">G12+H12</f>
        <v>0</v>
      </c>
      <c r="J12" s="54">
        <f>IF(E12-I12&gt;0,0,ABS(E12-I12))</f>
        <v>0</v>
      </c>
      <c r="K12" s="49"/>
      <c r="L12" s="54"/>
      <c r="M12" s="54"/>
      <c r="N12" s="49"/>
      <c r="O12" s="54"/>
      <c r="P12" s="54"/>
      <c r="Q12" s="49"/>
      <c r="R12" s="54"/>
      <c r="S12" s="54"/>
      <c r="T12" s="49"/>
      <c r="U12" s="54"/>
      <c r="V12" s="54"/>
      <c r="W12" s="49"/>
      <c r="X12" s="54"/>
      <c r="Y12" s="54"/>
      <c r="Z12" s="49"/>
      <c r="AA12" s="54"/>
      <c r="AB12" s="54"/>
      <c r="AC12" s="49"/>
      <c r="AD12" s="54"/>
      <c r="AE12" s="54"/>
      <c r="AF12" s="49"/>
      <c r="AG12" s="54"/>
      <c r="AH12" s="54"/>
      <c r="AI12" s="54"/>
      <c r="AJ12" s="54"/>
      <c r="AK12" s="54"/>
      <c r="AL12" s="49"/>
      <c r="AM12" s="54"/>
      <c r="AN12" s="54"/>
      <c r="AO12" s="131"/>
      <c r="AP12" s="54"/>
      <c r="AQ12" s="54"/>
      <c r="AR12" s="49"/>
      <c r="AS12" s="54"/>
      <c r="AT12" s="54"/>
    </row>
    <row r="13" spans="1:46" s="112" customFormat="1" ht="15.75">
      <c r="A13" s="55" t="s">
        <v>20</v>
      </c>
      <c r="B13" s="51">
        <f>H45/$D$3</f>
        <v>0.08815735121222713</v>
      </c>
      <c r="C13" s="108">
        <f>6.88/12</f>
        <v>0.5733333333333334</v>
      </c>
      <c r="D13" s="324">
        <f>0.82/12</f>
        <v>0.06833333333333333</v>
      </c>
      <c r="E13" s="45"/>
      <c r="F13" s="54">
        <f aca="true" t="shared" si="2" ref="F13:F21">$F$6*(IF($C13-$D13&lt;0,0,ABS($C13-$D13)))</f>
        <v>0</v>
      </c>
      <c r="G13" s="54">
        <f t="shared" si="0"/>
        <v>0</v>
      </c>
      <c r="H13" s="49">
        <f>F$8*$B13</f>
        <v>0</v>
      </c>
      <c r="I13" s="54">
        <f t="shared" si="1"/>
        <v>0</v>
      </c>
      <c r="J13" s="54">
        <f>IF(E13-I13&gt;0,0,ABS(E13-I13))</f>
        <v>0</v>
      </c>
      <c r="K13" s="45"/>
      <c r="L13" s="54"/>
      <c r="M13" s="54"/>
      <c r="N13" s="49"/>
      <c r="O13" s="54"/>
      <c r="P13" s="54"/>
      <c r="Q13" s="45"/>
      <c r="R13" s="54"/>
      <c r="S13" s="54"/>
      <c r="T13" s="49"/>
      <c r="U13" s="54"/>
      <c r="V13" s="54"/>
      <c r="W13" s="54"/>
      <c r="X13" s="54"/>
      <c r="Y13" s="54"/>
      <c r="Z13" s="49"/>
      <c r="AA13" s="54"/>
      <c r="AB13" s="54"/>
      <c r="AC13" s="54"/>
      <c r="AD13" s="54"/>
      <c r="AE13" s="54"/>
      <c r="AF13" s="49"/>
      <c r="AG13" s="54"/>
      <c r="AH13" s="54"/>
      <c r="AI13" s="54"/>
      <c r="AJ13" s="54"/>
      <c r="AK13" s="54"/>
      <c r="AL13" s="49"/>
      <c r="AM13" s="54"/>
      <c r="AN13" s="54"/>
      <c r="AO13" s="131"/>
      <c r="AP13" s="54"/>
      <c r="AQ13" s="54"/>
      <c r="AR13" s="49"/>
      <c r="AS13" s="54"/>
      <c r="AT13" s="54"/>
    </row>
    <row r="14" spans="1:46" s="112" customFormat="1" ht="15.75">
      <c r="A14" s="55" t="s">
        <v>22</v>
      </c>
      <c r="B14" s="51">
        <f>I45/$D$3</f>
        <v>0.19057545041466745</v>
      </c>
      <c r="C14" s="108">
        <f>8.96/12</f>
        <v>0.7466666666666667</v>
      </c>
      <c r="D14" s="324">
        <f>0.16/12</f>
        <v>0.013333333333333334</v>
      </c>
      <c r="E14" s="45">
        <v>0</v>
      </c>
      <c r="F14" s="54">
        <f t="shared" si="2"/>
        <v>0</v>
      </c>
      <c r="G14" s="54">
        <f t="shared" si="0"/>
        <v>0</v>
      </c>
      <c r="H14" s="49">
        <f aca="true" t="shared" si="3" ref="H14:H21">F$8*$B14</f>
        <v>0</v>
      </c>
      <c r="I14" s="54">
        <f t="shared" si="1"/>
        <v>0</v>
      </c>
      <c r="J14" s="54">
        <f aca="true" t="shared" si="4" ref="J14:J21">IF(E14-I14&gt;0,0,ABS(E14-I14))</f>
        <v>0</v>
      </c>
      <c r="K14" s="45"/>
      <c r="L14" s="54"/>
      <c r="M14" s="54"/>
      <c r="N14" s="49"/>
      <c r="O14" s="54"/>
      <c r="P14" s="54"/>
      <c r="Q14" s="45"/>
      <c r="R14" s="54"/>
      <c r="S14" s="54"/>
      <c r="T14" s="49"/>
      <c r="U14" s="54"/>
      <c r="V14" s="54"/>
      <c r="W14" s="54"/>
      <c r="X14" s="54"/>
      <c r="Y14" s="54"/>
      <c r="Z14" s="49"/>
      <c r="AA14" s="54"/>
      <c r="AB14" s="54"/>
      <c r="AC14" s="54"/>
      <c r="AD14" s="54"/>
      <c r="AE14" s="54"/>
      <c r="AF14" s="49"/>
      <c r="AG14" s="54"/>
      <c r="AH14" s="54"/>
      <c r="AI14" s="54"/>
      <c r="AJ14" s="54"/>
      <c r="AK14" s="54"/>
      <c r="AL14" s="49"/>
      <c r="AM14" s="54"/>
      <c r="AN14" s="54"/>
      <c r="AO14" s="131"/>
      <c r="AP14" s="54"/>
      <c r="AQ14" s="54"/>
      <c r="AR14" s="49"/>
      <c r="AS14" s="54"/>
      <c r="AT14" s="54"/>
    </row>
    <row r="15" spans="1:46" s="112" customFormat="1" ht="15.75">
      <c r="A15" s="55" t="s">
        <v>23</v>
      </c>
      <c r="B15" s="51">
        <f>J45/$D$3</f>
        <v>0.416154554987131</v>
      </c>
      <c r="C15" s="108">
        <f>10.32/12</f>
        <v>0.86</v>
      </c>
      <c r="D15" s="324">
        <f>0/12</f>
        <v>0</v>
      </c>
      <c r="E15" s="45">
        <v>0</v>
      </c>
      <c r="F15" s="54">
        <f t="shared" si="2"/>
        <v>0</v>
      </c>
      <c r="G15" s="54">
        <f t="shared" si="0"/>
        <v>0</v>
      </c>
      <c r="H15" s="49">
        <f t="shared" si="3"/>
        <v>0</v>
      </c>
      <c r="I15" s="54">
        <f t="shared" si="1"/>
        <v>0</v>
      </c>
      <c r="J15" s="54">
        <f t="shared" si="4"/>
        <v>0</v>
      </c>
      <c r="K15" s="45"/>
      <c r="L15" s="54"/>
      <c r="M15" s="54"/>
      <c r="N15" s="49"/>
      <c r="O15" s="54"/>
      <c r="P15" s="54"/>
      <c r="Q15" s="45"/>
      <c r="R15" s="54"/>
      <c r="S15" s="54"/>
      <c r="T15" s="49"/>
      <c r="U15" s="54"/>
      <c r="V15" s="54"/>
      <c r="W15" s="54"/>
      <c r="X15" s="54"/>
      <c r="Y15" s="54"/>
      <c r="Z15" s="49"/>
      <c r="AA15" s="54"/>
      <c r="AB15" s="54"/>
      <c r="AC15" s="54"/>
      <c r="AD15" s="54"/>
      <c r="AE15" s="54"/>
      <c r="AF15" s="49"/>
      <c r="AG15" s="54"/>
      <c r="AH15" s="54"/>
      <c r="AI15" s="54"/>
      <c r="AJ15" s="54"/>
      <c r="AK15" s="54"/>
      <c r="AL15" s="49"/>
      <c r="AM15" s="54"/>
      <c r="AN15" s="54"/>
      <c r="AO15" s="131"/>
      <c r="AP15" s="54"/>
      <c r="AQ15" s="54"/>
      <c r="AR15" s="49"/>
      <c r="AS15" s="54"/>
      <c r="AT15" s="54"/>
    </row>
    <row r="16" spans="1:46" s="112" customFormat="1" ht="15.75">
      <c r="A16" s="55" t="s">
        <v>24</v>
      </c>
      <c r="B16" s="51">
        <f>K45/$D$3</f>
        <v>0.8310126783387881</v>
      </c>
      <c r="C16" s="108">
        <f>12.32/12</f>
        <v>1.0266666666666666</v>
      </c>
      <c r="D16" s="324">
        <f>0/12</f>
        <v>0</v>
      </c>
      <c r="E16" s="45">
        <v>0</v>
      </c>
      <c r="F16" s="54">
        <f t="shared" si="2"/>
        <v>0</v>
      </c>
      <c r="G16" s="54">
        <f t="shared" si="0"/>
        <v>0</v>
      </c>
      <c r="H16" s="49">
        <f t="shared" si="3"/>
        <v>0</v>
      </c>
      <c r="I16" s="54">
        <f t="shared" si="1"/>
        <v>0</v>
      </c>
      <c r="J16" s="54">
        <f t="shared" si="4"/>
        <v>0</v>
      </c>
      <c r="K16" s="45"/>
      <c r="L16" s="54"/>
      <c r="M16" s="54"/>
      <c r="N16" s="49"/>
      <c r="O16" s="54"/>
      <c r="P16" s="54"/>
      <c r="Q16" s="45"/>
      <c r="R16" s="54"/>
      <c r="S16" s="54"/>
      <c r="T16" s="49"/>
      <c r="U16" s="54"/>
      <c r="V16" s="54"/>
      <c r="W16" s="54"/>
      <c r="X16" s="54"/>
      <c r="Y16" s="54"/>
      <c r="Z16" s="49"/>
      <c r="AA16" s="54"/>
      <c r="AB16" s="54"/>
      <c r="AC16" s="54"/>
      <c r="AD16" s="54"/>
      <c r="AE16" s="54"/>
      <c r="AF16" s="49"/>
      <c r="AG16" s="54"/>
      <c r="AH16" s="54"/>
      <c r="AI16" s="54"/>
      <c r="AJ16" s="54"/>
      <c r="AK16" s="54"/>
      <c r="AL16" s="49"/>
      <c r="AM16" s="54"/>
      <c r="AN16" s="54"/>
      <c r="AO16" s="131"/>
      <c r="AP16" s="54"/>
      <c r="AQ16" s="54"/>
      <c r="AR16" s="49"/>
      <c r="AS16" s="54"/>
      <c r="AT16" s="54"/>
    </row>
    <row r="17" spans="1:46" s="112" customFormat="1" ht="15.75">
      <c r="A17" s="55" t="s">
        <v>25</v>
      </c>
      <c r="B17" s="51">
        <f>L45/$D$3</f>
        <v>0.8465698579644753</v>
      </c>
      <c r="C17" s="108">
        <f>9.44/12</f>
        <v>0.7866666666666666</v>
      </c>
      <c r="D17" s="324">
        <f>2.75/12</f>
        <v>0.22916666666666666</v>
      </c>
      <c r="E17" s="45">
        <v>0</v>
      </c>
      <c r="F17" s="54">
        <f t="shared" si="2"/>
        <v>0</v>
      </c>
      <c r="G17" s="54">
        <f t="shared" si="0"/>
        <v>0</v>
      </c>
      <c r="H17" s="49">
        <f t="shared" si="3"/>
        <v>0</v>
      </c>
      <c r="I17" s="54">
        <f t="shared" si="1"/>
        <v>0</v>
      </c>
      <c r="J17" s="54">
        <f t="shared" si="4"/>
        <v>0</v>
      </c>
      <c r="K17" s="45"/>
      <c r="L17" s="54"/>
      <c r="M17" s="54"/>
      <c r="N17" s="49"/>
      <c r="O17" s="54"/>
      <c r="P17" s="54"/>
      <c r="Q17" s="45"/>
      <c r="R17" s="54"/>
      <c r="S17" s="54"/>
      <c r="T17" s="49"/>
      <c r="U17" s="54"/>
      <c r="V17" s="54"/>
      <c r="W17" s="54"/>
      <c r="X17" s="54"/>
      <c r="Y17" s="54"/>
      <c r="Z17" s="49"/>
      <c r="AA17" s="54"/>
      <c r="AB17" s="54"/>
      <c r="AC17" s="54"/>
      <c r="AD17" s="54"/>
      <c r="AE17" s="54"/>
      <c r="AF17" s="49"/>
      <c r="AG17" s="54"/>
      <c r="AH17" s="54"/>
      <c r="AI17" s="54"/>
      <c r="AJ17" s="54"/>
      <c r="AK17" s="54"/>
      <c r="AL17" s="49"/>
      <c r="AM17" s="54"/>
      <c r="AN17" s="54"/>
      <c r="AO17" s="131"/>
      <c r="AP17" s="54"/>
      <c r="AQ17" s="54"/>
      <c r="AR17" s="49"/>
      <c r="AS17" s="54"/>
      <c r="AT17" s="54"/>
    </row>
    <row r="18" spans="1:46" s="112" customFormat="1" ht="15.75">
      <c r="A18" s="55" t="s">
        <v>26</v>
      </c>
      <c r="B18" s="51">
        <f>M45/$D$3</f>
        <v>0.6884051984366559</v>
      </c>
      <c r="C18" s="108">
        <f>7.84/12</f>
        <v>0.6533333333333333</v>
      </c>
      <c r="D18" s="324">
        <f>2.54/12</f>
        <v>0.21166666666666667</v>
      </c>
      <c r="E18" s="45">
        <v>0</v>
      </c>
      <c r="F18" s="54">
        <f t="shared" si="2"/>
        <v>0</v>
      </c>
      <c r="G18" s="54">
        <f t="shared" si="0"/>
        <v>0</v>
      </c>
      <c r="H18" s="49">
        <f t="shared" si="3"/>
        <v>0</v>
      </c>
      <c r="I18" s="54">
        <f t="shared" si="1"/>
        <v>0</v>
      </c>
      <c r="J18" s="54">
        <f t="shared" si="4"/>
        <v>0</v>
      </c>
      <c r="K18" s="45"/>
      <c r="L18" s="54"/>
      <c r="M18" s="54"/>
      <c r="N18" s="49"/>
      <c r="O18" s="54"/>
      <c r="P18" s="54"/>
      <c r="Q18" s="45"/>
      <c r="R18" s="54"/>
      <c r="S18" s="54"/>
      <c r="T18" s="49"/>
      <c r="U18" s="54"/>
      <c r="V18" s="54"/>
      <c r="W18" s="54"/>
      <c r="X18" s="54"/>
      <c r="Y18" s="54"/>
      <c r="Z18" s="49"/>
      <c r="AA18" s="54"/>
      <c r="AB18" s="54"/>
      <c r="AC18" s="54"/>
      <c r="AD18" s="54"/>
      <c r="AE18" s="54"/>
      <c r="AF18" s="49"/>
      <c r="AG18" s="54"/>
      <c r="AH18" s="54"/>
      <c r="AI18" s="54"/>
      <c r="AJ18" s="54"/>
      <c r="AK18" s="54"/>
      <c r="AL18" s="49"/>
      <c r="AM18" s="54"/>
      <c r="AN18" s="54"/>
      <c r="AO18" s="131"/>
      <c r="AP18" s="54"/>
      <c r="AQ18" s="54"/>
      <c r="AR18" s="49"/>
      <c r="AS18" s="54"/>
      <c r="AT18" s="54"/>
    </row>
    <row r="19" spans="1:46" s="112" customFormat="1" ht="15.75">
      <c r="A19" s="55" t="s">
        <v>27</v>
      </c>
      <c r="B19" s="51">
        <f>N45/$D$3</f>
        <v>0.30725429760732104</v>
      </c>
      <c r="C19" s="108">
        <f>6.96/12</f>
        <v>0.58</v>
      </c>
      <c r="D19" s="324">
        <f>3.02/12</f>
        <v>0.25166666666666665</v>
      </c>
      <c r="E19" s="45">
        <v>0</v>
      </c>
      <c r="F19" s="54">
        <f t="shared" si="2"/>
        <v>0</v>
      </c>
      <c r="G19" s="54">
        <f t="shared" si="0"/>
        <v>0</v>
      </c>
      <c r="H19" s="49">
        <f t="shared" si="3"/>
        <v>0</v>
      </c>
      <c r="I19" s="54">
        <f t="shared" si="1"/>
        <v>0</v>
      </c>
      <c r="J19" s="54">
        <f t="shared" si="4"/>
        <v>0</v>
      </c>
      <c r="K19" s="45"/>
      <c r="L19" s="54"/>
      <c r="M19" s="54"/>
      <c r="N19" s="49"/>
      <c r="O19" s="54"/>
      <c r="P19" s="54"/>
      <c r="Q19" s="45"/>
      <c r="R19" s="54"/>
      <c r="S19" s="54"/>
      <c r="T19" s="49"/>
      <c r="U19" s="54"/>
      <c r="V19" s="54"/>
      <c r="W19" s="54"/>
      <c r="X19" s="54"/>
      <c r="Y19" s="54"/>
      <c r="Z19" s="49"/>
      <c r="AA19" s="54"/>
      <c r="AB19" s="54"/>
      <c r="AC19" s="54"/>
      <c r="AD19" s="54"/>
      <c r="AE19" s="54"/>
      <c r="AF19" s="49"/>
      <c r="AG19" s="54"/>
      <c r="AH19" s="54"/>
      <c r="AI19" s="54"/>
      <c r="AJ19" s="54"/>
      <c r="AK19" s="54"/>
      <c r="AL19" s="49"/>
      <c r="AM19" s="54"/>
      <c r="AN19" s="54"/>
      <c r="AO19" s="131"/>
      <c r="AP19" s="54"/>
      <c r="AQ19" s="54"/>
      <c r="AR19" s="49"/>
      <c r="AS19" s="54"/>
      <c r="AT19" s="54"/>
    </row>
    <row r="20" spans="1:46" s="112" customFormat="1" ht="15.75">
      <c r="A20" s="55" t="s">
        <v>28</v>
      </c>
      <c r="B20" s="51">
        <f>O45/$D$3</f>
        <v>0.15168250135044958</v>
      </c>
      <c r="C20" s="108">
        <f>5.84/12</f>
        <v>0.48666666666666664</v>
      </c>
      <c r="D20" s="324">
        <f>0.78/12</f>
        <v>0.065</v>
      </c>
      <c r="E20" s="45">
        <v>0</v>
      </c>
      <c r="F20" s="54">
        <f t="shared" si="2"/>
        <v>0</v>
      </c>
      <c r="G20" s="54">
        <f t="shared" si="0"/>
        <v>0</v>
      </c>
      <c r="H20" s="49">
        <f t="shared" si="3"/>
        <v>0</v>
      </c>
      <c r="I20" s="54">
        <f t="shared" si="1"/>
        <v>0</v>
      </c>
      <c r="J20" s="54">
        <f t="shared" si="4"/>
        <v>0</v>
      </c>
      <c r="K20" s="45"/>
      <c r="L20" s="54"/>
      <c r="M20" s="54"/>
      <c r="N20" s="49"/>
      <c r="O20" s="54"/>
      <c r="P20" s="54"/>
      <c r="Q20" s="45"/>
      <c r="R20" s="54"/>
      <c r="S20" s="54"/>
      <c r="T20" s="49"/>
      <c r="U20" s="54"/>
      <c r="V20" s="54"/>
      <c r="W20" s="54"/>
      <c r="X20" s="54"/>
      <c r="Y20" s="54"/>
      <c r="Z20" s="49"/>
      <c r="AA20" s="54"/>
      <c r="AB20" s="54"/>
      <c r="AC20" s="54"/>
      <c r="AD20" s="54"/>
      <c r="AE20" s="54"/>
      <c r="AF20" s="49"/>
      <c r="AG20" s="54"/>
      <c r="AH20" s="54"/>
      <c r="AI20" s="54"/>
      <c r="AJ20" s="54"/>
      <c r="AK20" s="54"/>
      <c r="AL20" s="49"/>
      <c r="AM20" s="54"/>
      <c r="AN20" s="54"/>
      <c r="AO20" s="131"/>
      <c r="AP20" s="54"/>
      <c r="AQ20" s="54"/>
      <c r="AR20" s="49"/>
      <c r="AS20" s="54"/>
      <c r="AT20" s="54"/>
    </row>
    <row r="21" spans="1:46" s="112" customFormat="1" ht="15.75">
      <c r="A21" s="55" t="s">
        <v>29</v>
      </c>
      <c r="B21" s="51">
        <f>P45/$D$3</f>
        <v>0.06611801340917034</v>
      </c>
      <c r="C21" s="108">
        <f>3.04/12</f>
        <v>0.25333333333333335</v>
      </c>
      <c r="D21" s="324">
        <f>0.24/12</f>
        <v>0.02</v>
      </c>
      <c r="E21" s="45">
        <v>0</v>
      </c>
      <c r="F21" s="54">
        <f t="shared" si="2"/>
        <v>0</v>
      </c>
      <c r="G21" s="54">
        <f t="shared" si="0"/>
        <v>0</v>
      </c>
      <c r="H21" s="49">
        <f t="shared" si="3"/>
        <v>0</v>
      </c>
      <c r="I21" s="54">
        <f t="shared" si="1"/>
        <v>0</v>
      </c>
      <c r="J21" s="54">
        <f t="shared" si="4"/>
        <v>0</v>
      </c>
      <c r="K21" s="45"/>
      <c r="L21" s="54"/>
      <c r="M21" s="54"/>
      <c r="N21" s="49"/>
      <c r="O21" s="54"/>
      <c r="P21" s="54"/>
      <c r="Q21" s="45"/>
      <c r="R21" s="54"/>
      <c r="S21" s="54"/>
      <c r="T21" s="49"/>
      <c r="U21" s="54"/>
      <c r="V21" s="54"/>
      <c r="W21" s="54"/>
      <c r="X21" s="54"/>
      <c r="Y21" s="54"/>
      <c r="Z21" s="49"/>
      <c r="AA21" s="54"/>
      <c r="AB21" s="54"/>
      <c r="AC21" s="54"/>
      <c r="AD21" s="54"/>
      <c r="AE21" s="54"/>
      <c r="AF21" s="49"/>
      <c r="AG21" s="54"/>
      <c r="AH21" s="54"/>
      <c r="AI21" s="54"/>
      <c r="AJ21" s="54"/>
      <c r="AK21" s="54"/>
      <c r="AL21" s="49"/>
      <c r="AM21" s="54"/>
      <c r="AN21" s="54"/>
      <c r="AO21" s="131"/>
      <c r="AP21" s="54"/>
      <c r="AQ21" s="54"/>
      <c r="AR21" s="49"/>
      <c r="AS21" s="54"/>
      <c r="AT21" s="54"/>
    </row>
    <row r="22" spans="1:46" s="112" customFormat="1" ht="15.75">
      <c r="A22" s="55" t="s">
        <v>211</v>
      </c>
      <c r="B22" s="51">
        <f>Q45/$D$3</f>
        <v>0.03111435925137428</v>
      </c>
      <c r="C22" s="179">
        <f>2.48/12</f>
        <v>0.20666666666666667</v>
      </c>
      <c r="D22" s="339">
        <f>0.48/12</f>
        <v>0.04</v>
      </c>
      <c r="E22" s="54"/>
      <c r="F22" s="54">
        <f>$F$6*(IF($C22-$D22&lt;0,0,ABS($C22-$D22)))</f>
        <v>0</v>
      </c>
      <c r="G22" s="54">
        <f t="shared" si="0"/>
        <v>0</v>
      </c>
      <c r="H22" s="49">
        <f>F$8*$B22</f>
        <v>0</v>
      </c>
      <c r="I22" s="54">
        <f>G22+H22</f>
        <v>0</v>
      </c>
      <c r="J22" s="54">
        <f>IF(E22-I22&gt;0,0,ABS(E22-I22))</f>
        <v>0</v>
      </c>
      <c r="L22" s="54"/>
      <c r="M22" s="54"/>
      <c r="N22" s="49"/>
      <c r="O22" s="54"/>
      <c r="P22" s="54"/>
      <c r="R22" s="54"/>
      <c r="S22" s="54"/>
      <c r="T22" s="49"/>
      <c r="U22" s="54"/>
      <c r="V22" s="54"/>
      <c r="X22" s="54"/>
      <c r="Y22" s="54"/>
      <c r="Z22" s="49"/>
      <c r="AA22" s="54"/>
      <c r="AB22" s="54"/>
      <c r="AD22" s="54"/>
      <c r="AE22" s="54"/>
      <c r="AF22" s="49"/>
      <c r="AG22" s="54"/>
      <c r="AH22" s="54"/>
      <c r="AJ22" s="54"/>
      <c r="AK22" s="54"/>
      <c r="AL22" s="121"/>
      <c r="AM22" s="54"/>
      <c r="AN22" s="54"/>
      <c r="AP22" s="54"/>
      <c r="AQ22" s="54"/>
      <c r="AR22" s="121"/>
      <c r="AS22" s="54"/>
      <c r="AT22" s="54"/>
    </row>
    <row r="23" spans="1:46" s="120" customFormat="1" ht="15.75">
      <c r="A23" s="53" t="s">
        <v>34</v>
      </c>
      <c r="B23" s="53">
        <f aca="true" t="shared" si="5" ref="B23:J23">SUM(B11:B22)</f>
        <v>3.709090909090909</v>
      </c>
      <c r="C23" s="53">
        <f t="shared" si="5"/>
        <v>6.653333333333332</v>
      </c>
      <c r="D23" s="53">
        <f t="shared" si="5"/>
        <v>0.8991666666666667</v>
      </c>
      <c r="E23" s="53">
        <f t="shared" si="5"/>
        <v>0</v>
      </c>
      <c r="F23" s="53">
        <f t="shared" si="5"/>
        <v>0</v>
      </c>
      <c r="G23" s="53">
        <f t="shared" si="5"/>
        <v>0</v>
      </c>
      <c r="H23" s="53">
        <f t="shared" si="5"/>
        <v>0</v>
      </c>
      <c r="I23" s="53">
        <f t="shared" si="5"/>
        <v>0</v>
      </c>
      <c r="J23" s="53">
        <f t="shared" si="5"/>
        <v>0</v>
      </c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</row>
    <row r="24" spans="1:46" s="120" customFormat="1" ht="15.7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</row>
    <row r="25" spans="4:29" s="112" customFormat="1" ht="15.75">
      <c r="D25" s="52"/>
      <c r="E25" s="52"/>
      <c r="J25" s="49"/>
      <c r="K25" s="49"/>
      <c r="P25" s="49"/>
      <c r="Q25" s="49"/>
      <c r="V25" s="49"/>
      <c r="W25" s="49"/>
      <c r="AB25" s="49"/>
      <c r="AC25" s="49"/>
    </row>
    <row r="26" spans="1:52" s="148" customFormat="1" ht="18">
      <c r="A26" s="141" t="s">
        <v>35</v>
      </c>
      <c r="B26" s="142"/>
      <c r="C26" s="146"/>
      <c r="D26" s="147"/>
      <c r="E26" s="147"/>
      <c r="F26" s="382" t="s">
        <v>310</v>
      </c>
      <c r="G26" s="408"/>
      <c r="H26" s="408"/>
      <c r="I26" s="408"/>
      <c r="J26" s="408"/>
      <c r="K26" s="408"/>
      <c r="L26" s="384" t="s">
        <v>328</v>
      </c>
      <c r="M26" s="408"/>
      <c r="N26" s="408"/>
      <c r="O26" s="408"/>
      <c r="P26" s="408"/>
      <c r="Q26" s="408"/>
      <c r="R26" s="196"/>
      <c r="S26" s="385" t="s">
        <v>73</v>
      </c>
      <c r="T26" s="408"/>
      <c r="U26" s="408"/>
      <c r="V26" s="408"/>
      <c r="W26" s="408"/>
      <c r="X26" s="408"/>
      <c r="Y26" s="232"/>
      <c r="Z26" s="234"/>
      <c r="AA26" s="235"/>
      <c r="AB26" s="235"/>
      <c r="AC26" s="235"/>
      <c r="AD26" s="235"/>
      <c r="AE26" s="235"/>
      <c r="AF26" s="235"/>
      <c r="AG26" s="232"/>
      <c r="AH26" s="235"/>
      <c r="AI26" s="235"/>
      <c r="AJ26" s="235"/>
      <c r="AK26" s="236"/>
      <c r="AL26" s="236"/>
      <c r="AM26" s="236"/>
      <c r="AN26" s="236"/>
      <c r="AO26" s="236"/>
      <c r="AP26" s="236"/>
      <c r="AQ26" s="236"/>
      <c r="AR26" s="236"/>
      <c r="AS26" s="236"/>
      <c r="AT26" s="236"/>
      <c r="AU26" s="237"/>
      <c r="AV26" s="237"/>
      <c r="AW26" s="237"/>
      <c r="AX26" s="237"/>
      <c r="AY26" s="237"/>
      <c r="AZ26" s="237"/>
    </row>
    <row r="27" spans="1:38" s="140" customFormat="1" ht="72.75" customHeight="1">
      <c r="A27" s="129"/>
      <c r="B27" s="129"/>
      <c r="C27" s="149" t="s">
        <v>8</v>
      </c>
      <c r="D27" s="149" t="s">
        <v>9</v>
      </c>
      <c r="E27" s="150"/>
      <c r="F27" s="116" t="s">
        <v>309</v>
      </c>
      <c r="G27" s="126" t="s">
        <v>311</v>
      </c>
      <c r="H27" s="126"/>
      <c r="I27" s="126" t="s">
        <v>312</v>
      </c>
      <c r="J27" s="116"/>
      <c r="K27" s="116"/>
      <c r="L27" s="116" t="s">
        <v>209</v>
      </c>
      <c r="M27" s="126" t="s">
        <v>0</v>
      </c>
      <c r="N27" s="116" t="s">
        <v>299</v>
      </c>
      <c r="O27" s="116" t="s">
        <v>329</v>
      </c>
      <c r="P27" s="126" t="s">
        <v>0</v>
      </c>
      <c r="S27" s="126" t="s">
        <v>122</v>
      </c>
      <c r="T27" s="116" t="s">
        <v>1</v>
      </c>
      <c r="U27" s="116" t="s">
        <v>4</v>
      </c>
      <c r="V27" s="126" t="s">
        <v>300</v>
      </c>
      <c r="W27" s="126"/>
      <c r="X27" s="126" t="s">
        <v>301</v>
      </c>
      <c r="Y27" s="116"/>
      <c r="Z27" s="126"/>
      <c r="AA27" s="116"/>
      <c r="AB27" s="116"/>
      <c r="AC27" s="126"/>
      <c r="AD27" s="126"/>
      <c r="AE27" s="126"/>
      <c r="AG27" s="83"/>
      <c r="AH27" s="4"/>
      <c r="AI27" s="45"/>
      <c r="AJ27" s="4"/>
      <c r="AK27" s="42"/>
      <c r="AL27" s="45"/>
    </row>
    <row r="28" spans="1:39" ht="15.75">
      <c r="A28" s="110" t="s">
        <v>242</v>
      </c>
      <c r="B28" s="49"/>
      <c r="C28" s="51">
        <f>B23*D3</f>
        <v>2.04</v>
      </c>
      <c r="E28" s="54"/>
      <c r="F28" s="54">
        <v>0</v>
      </c>
      <c r="G28" s="112">
        <v>0</v>
      </c>
      <c r="H28" s="112"/>
      <c r="I28" s="112">
        <f>G28-H28</f>
        <v>0</v>
      </c>
      <c r="J28" s="49"/>
      <c r="K28" s="49"/>
      <c r="L28" s="54">
        <v>0</v>
      </c>
      <c r="M28" s="54">
        <f>L28*$C28</f>
        <v>0</v>
      </c>
      <c r="N28" s="49">
        <f>J31*M28</f>
        <v>0</v>
      </c>
      <c r="O28" s="341">
        <v>200.89</v>
      </c>
      <c r="P28" s="54">
        <f>V56-P30</f>
        <v>220.33779166666667</v>
      </c>
      <c r="S28" s="112">
        <f>F28+L28+O28</f>
        <v>200.89</v>
      </c>
      <c r="T28" s="49">
        <f>I28+M28+P28</f>
        <v>220.33779166666667</v>
      </c>
      <c r="U28" s="49"/>
      <c r="V28" s="49">
        <f>T28-U28</f>
        <v>220.33779166666667</v>
      </c>
      <c r="W28" s="49"/>
      <c r="X28" s="49"/>
      <c r="Y28" s="112"/>
      <c r="Z28" s="112"/>
      <c r="AA28" s="46"/>
      <c r="AB28" s="49"/>
      <c r="AC28" s="49"/>
      <c r="AD28" s="49"/>
      <c r="AE28" s="49"/>
      <c r="AG28" s="49"/>
      <c r="AH28" s="4"/>
      <c r="AI28" s="94"/>
      <c r="AJ28" s="45"/>
      <c r="AK28" s="35"/>
      <c r="AL28" s="45"/>
      <c r="AM28" s="49"/>
    </row>
    <row r="29" spans="1:39" ht="15.75">
      <c r="A29" s="45" t="s">
        <v>243</v>
      </c>
      <c r="B29" s="49"/>
      <c r="C29" s="112"/>
      <c r="D29" s="54"/>
      <c r="E29" s="54"/>
      <c r="F29" s="54"/>
      <c r="G29" s="112"/>
      <c r="I29" s="112"/>
      <c r="J29" s="49"/>
      <c r="K29" s="49"/>
      <c r="L29" s="54">
        <v>0</v>
      </c>
      <c r="M29" s="54"/>
      <c r="N29" s="49"/>
      <c r="O29" s="112">
        <v>0</v>
      </c>
      <c r="P29" s="54"/>
      <c r="S29" s="112"/>
      <c r="T29" s="49"/>
      <c r="U29" s="49"/>
      <c r="V29" s="49"/>
      <c r="W29" s="49"/>
      <c r="X29" s="49"/>
      <c r="Y29" s="112"/>
      <c r="Z29" s="112"/>
      <c r="AA29" s="46"/>
      <c r="AB29" s="49"/>
      <c r="AC29" s="49"/>
      <c r="AD29" s="49"/>
      <c r="AE29" s="49"/>
      <c r="AG29" s="49"/>
      <c r="AH29" s="45"/>
      <c r="AI29" s="45"/>
      <c r="AJ29" s="51"/>
      <c r="AK29" s="45"/>
      <c r="AL29" s="45"/>
      <c r="AM29" s="49"/>
    </row>
    <row r="30" spans="1:39" s="45" customFormat="1" ht="15.75">
      <c r="A30" s="112" t="s">
        <v>50</v>
      </c>
      <c r="E30" s="51"/>
      <c r="F30" s="54">
        <f>F6+L6+R6+X6+AD6+AJ6</f>
        <v>0</v>
      </c>
      <c r="G30" s="112">
        <f>G23+M23+S23+Y23+AE23+AK23</f>
        <v>0</v>
      </c>
      <c r="J30" s="49"/>
      <c r="K30" s="49"/>
      <c r="L30" s="54">
        <v>0</v>
      </c>
      <c r="M30" s="54">
        <f>L30*($C23-$D23)</f>
        <v>0</v>
      </c>
      <c r="N30" s="54">
        <f>J31*M30</f>
        <v>0</v>
      </c>
      <c r="O30" s="322">
        <v>1.13</v>
      </c>
      <c r="P30" s="54">
        <f>O30*($C23-$D23)</f>
        <v>6.502208333333331</v>
      </c>
      <c r="Q30" s="54"/>
      <c r="S30" s="112">
        <f>F30+L30+O30</f>
        <v>1.13</v>
      </c>
      <c r="T30" s="49">
        <f>G30+M30+P30</f>
        <v>6.502208333333331</v>
      </c>
      <c r="U30" s="49"/>
      <c r="V30" s="49">
        <f>T30-U30</f>
        <v>6.502208333333331</v>
      </c>
      <c r="W30" s="42"/>
      <c r="Y30" s="49"/>
      <c r="Z30" s="112"/>
      <c r="AA30" s="46"/>
      <c r="AB30" s="49"/>
      <c r="AC30" s="49"/>
      <c r="AD30" s="42"/>
      <c r="AI30" s="4"/>
      <c r="AJ30" s="51"/>
      <c r="AM30" s="49"/>
    </row>
    <row r="31" spans="1:39" ht="15.75">
      <c r="A31" s="64" t="s">
        <v>73</v>
      </c>
      <c r="B31" s="49"/>
      <c r="D31" s="54"/>
      <c r="E31" s="54"/>
      <c r="F31" s="54">
        <f>SUM(F28:F30)</f>
        <v>0</v>
      </c>
      <c r="G31" s="54">
        <f>SUM(G28:G30)</f>
        <v>0</v>
      </c>
      <c r="H31" s="54"/>
      <c r="I31" s="54">
        <f>SUM(I28:I30)</f>
        <v>0</v>
      </c>
      <c r="J31" s="53"/>
      <c r="K31" s="54"/>
      <c r="L31" s="54">
        <f>SUM(L28:L30)</f>
        <v>0</v>
      </c>
      <c r="M31" s="54">
        <f>SUM(M28:M30)</f>
        <v>0</v>
      </c>
      <c r="N31" s="54">
        <f>SUM(N28:N30)</f>
        <v>0</v>
      </c>
      <c r="O31" s="54">
        <f>SUM(O28:O30)</f>
        <v>202.01999999999998</v>
      </c>
      <c r="P31" s="54">
        <f>SUM(P28:P30)</f>
        <v>226.84</v>
      </c>
      <c r="S31" s="112">
        <f>SUM(S28:S30)</f>
        <v>202.01999999999998</v>
      </c>
      <c r="T31" s="49">
        <f>SUM(T28:T30)</f>
        <v>226.84</v>
      </c>
      <c r="U31" s="49"/>
      <c r="V31" s="49">
        <f>SUM(V28:V30)</f>
        <v>226.84</v>
      </c>
      <c r="W31" s="54"/>
      <c r="X31" s="49">
        <f>W31+V31</f>
        <v>226.84</v>
      </c>
      <c r="Y31" s="112"/>
      <c r="Z31" s="64"/>
      <c r="AA31" s="46"/>
      <c r="AB31" s="46"/>
      <c r="AC31" s="46"/>
      <c r="AD31" s="50"/>
      <c r="AE31" s="46"/>
      <c r="AG31" s="49"/>
      <c r="AH31" s="45"/>
      <c r="AI31" s="4"/>
      <c r="AJ31" s="51"/>
      <c r="AK31" s="45"/>
      <c r="AL31" s="37"/>
      <c r="AM31" s="49"/>
    </row>
    <row r="32" spans="1:38" ht="15.75">
      <c r="A32" s="49"/>
      <c r="B32" s="49"/>
      <c r="C32" s="112"/>
      <c r="D32" s="54"/>
      <c r="E32" s="54"/>
      <c r="F32" s="54"/>
      <c r="G32" s="54"/>
      <c r="H32" s="112"/>
      <c r="I32" s="112"/>
      <c r="J32" s="54"/>
      <c r="K32" s="54"/>
      <c r="L32" s="112"/>
      <c r="M32" s="54"/>
      <c r="N32" s="54"/>
      <c r="O32" s="49"/>
      <c r="P32" s="54"/>
      <c r="Q32" s="54"/>
      <c r="R32" s="54"/>
      <c r="S32" s="112"/>
      <c r="T32" s="112"/>
      <c r="U32" s="49"/>
      <c r="V32" s="49"/>
      <c r="W32" s="49"/>
      <c r="X32" s="46"/>
      <c r="Y32" s="49"/>
      <c r="Z32" s="49"/>
      <c r="AA32" s="49"/>
      <c r="AF32" s="49"/>
      <c r="AG32" s="49"/>
      <c r="AH32" s="45"/>
      <c r="AI32" s="94"/>
      <c r="AJ32" s="36"/>
      <c r="AK32" s="45"/>
      <c r="AL32" s="45"/>
    </row>
    <row r="33" spans="1:38" ht="15.75">
      <c r="A33" s="49" t="s">
        <v>348</v>
      </c>
      <c r="B33" s="49"/>
      <c r="C33" s="112"/>
      <c r="D33" s="54"/>
      <c r="E33" s="54"/>
      <c r="F33" s="54"/>
      <c r="G33" s="54"/>
      <c r="H33" s="112"/>
      <c r="I33" s="112"/>
      <c r="J33" s="54"/>
      <c r="K33" s="54"/>
      <c r="L33" s="112"/>
      <c r="M33" s="54"/>
      <c r="N33" s="54"/>
      <c r="O33" s="49"/>
      <c r="P33" s="54"/>
      <c r="Q33" s="54"/>
      <c r="R33" s="54"/>
      <c r="S33" s="112"/>
      <c r="T33" s="112"/>
      <c r="U33" s="49"/>
      <c r="V33" s="49"/>
      <c r="W33" s="49"/>
      <c r="X33" s="46"/>
      <c r="Y33" s="49"/>
      <c r="Z33" s="49"/>
      <c r="AG33" s="49"/>
      <c r="AH33" s="4"/>
      <c r="AI33" s="45"/>
      <c r="AJ33" s="46"/>
      <c r="AK33" s="37"/>
      <c r="AL33" s="94"/>
    </row>
    <row r="34" spans="1:27" s="36" customFormat="1" ht="15.75">
      <c r="A34" s="37" t="s">
        <v>330</v>
      </c>
      <c r="C34" s="51"/>
      <c r="D34" s="51"/>
      <c r="E34" s="51"/>
      <c r="F34" s="37"/>
      <c r="G34" s="37"/>
      <c r="H34" s="54"/>
      <c r="I34" s="37"/>
      <c r="J34" s="54"/>
      <c r="K34" s="54"/>
      <c r="L34" s="49"/>
      <c r="M34" s="54"/>
      <c r="N34" s="54"/>
      <c r="O34" s="37"/>
      <c r="P34" s="37"/>
      <c r="Q34" s="49"/>
      <c r="R34" s="49"/>
      <c r="S34" s="46"/>
      <c r="T34" s="42"/>
      <c r="U34" s="45"/>
      <c r="V34" s="45"/>
      <c r="W34" s="45"/>
      <c r="X34" s="4"/>
      <c r="Y34" s="42"/>
      <c r="Z34" s="45"/>
      <c r="AA34" s="45"/>
    </row>
    <row r="35" spans="1:33" s="139" customFormat="1" ht="15.75">
      <c r="A35" s="143" t="s">
        <v>198</v>
      </c>
      <c r="B35" s="143"/>
      <c r="D35" s="136"/>
      <c r="E35" s="136"/>
      <c r="F35" s="136"/>
      <c r="G35" s="144"/>
      <c r="H35" s="136"/>
      <c r="I35" s="136"/>
      <c r="J35" s="136"/>
      <c r="K35" s="136"/>
      <c r="L35" s="136"/>
      <c r="M35" s="144"/>
      <c r="N35" s="136"/>
      <c r="O35" s="136"/>
      <c r="P35" s="136"/>
      <c r="Q35" s="136"/>
      <c r="R35" s="136"/>
      <c r="S35" s="144"/>
      <c r="T35" s="136"/>
      <c r="U35" s="136"/>
      <c r="V35" s="137"/>
      <c r="W35" s="137"/>
      <c r="X35" s="137"/>
      <c r="Y35" s="138"/>
      <c r="Z35" s="137"/>
      <c r="AA35" s="137"/>
      <c r="AF35" s="137"/>
      <c r="AG35" s="137"/>
    </row>
    <row r="36" spans="1:33" ht="15.75">
      <c r="A36" s="46"/>
      <c r="B36" s="46"/>
      <c r="C36" s="46"/>
      <c r="F36" s="53" t="s">
        <v>89</v>
      </c>
      <c r="G36" s="53" t="s">
        <v>90</v>
      </c>
      <c r="H36" s="53" t="s">
        <v>91</v>
      </c>
      <c r="I36" s="53" t="s">
        <v>92</v>
      </c>
      <c r="J36" s="53" t="s">
        <v>23</v>
      </c>
      <c r="K36" s="53" t="s">
        <v>93</v>
      </c>
      <c r="L36" s="53" t="s">
        <v>94</v>
      </c>
      <c r="M36" s="53" t="s">
        <v>95</v>
      </c>
      <c r="N36" s="53" t="s">
        <v>96</v>
      </c>
      <c r="O36" s="53" t="s">
        <v>97</v>
      </c>
      <c r="P36" s="53" t="s">
        <v>98</v>
      </c>
      <c r="Q36" s="53" t="s">
        <v>99</v>
      </c>
      <c r="R36" s="53" t="s">
        <v>73</v>
      </c>
      <c r="T36" s="114" t="s">
        <v>230</v>
      </c>
      <c r="W36" s="49"/>
      <c r="X36" s="49"/>
      <c r="Y36" s="52"/>
      <c r="Z36" s="49"/>
      <c r="AA36" s="49"/>
      <c r="AF36" s="49"/>
      <c r="AG36" s="49"/>
    </row>
    <row r="37" spans="2:33" ht="15.75" customHeight="1">
      <c r="B37" s="46"/>
      <c r="C37" s="46"/>
      <c r="F37" s="53"/>
      <c r="G37" s="50"/>
      <c r="H37" s="50"/>
      <c r="I37" s="53"/>
      <c r="J37" s="50"/>
      <c r="K37" s="50"/>
      <c r="L37" s="50"/>
      <c r="M37" s="50"/>
      <c r="N37" s="53"/>
      <c r="O37" s="50"/>
      <c r="P37" s="53"/>
      <c r="Q37" s="50"/>
      <c r="R37" s="53"/>
      <c r="T37" s="152" t="s">
        <v>182</v>
      </c>
      <c r="U37" s="239"/>
      <c r="V37" s="308">
        <v>9.67</v>
      </c>
      <c r="W37" s="49"/>
      <c r="X37" s="49"/>
      <c r="Y37" s="52"/>
      <c r="AF37" s="49"/>
      <c r="AG37" s="49"/>
    </row>
    <row r="38" spans="1:33" ht="16.5" customHeight="1">
      <c r="A38" s="46" t="s">
        <v>343</v>
      </c>
      <c r="B38" s="46"/>
      <c r="C38" s="49"/>
      <c r="F38" s="322">
        <v>0.2</v>
      </c>
      <c r="G38" s="322">
        <v>0.51</v>
      </c>
      <c r="H38" s="322">
        <v>0.68</v>
      </c>
      <c r="I38" s="322">
        <v>1.47</v>
      </c>
      <c r="J38" s="322">
        <v>3.21</v>
      </c>
      <c r="K38" s="322">
        <v>6.41</v>
      </c>
      <c r="L38" s="322">
        <v>6.53</v>
      </c>
      <c r="M38" s="322">
        <v>5.31</v>
      </c>
      <c r="N38" s="322">
        <v>2.37</v>
      </c>
      <c r="O38" s="322">
        <v>1.17</v>
      </c>
      <c r="P38" s="322">
        <v>0.51</v>
      </c>
      <c r="Q38" s="322">
        <v>0.24</v>
      </c>
      <c r="R38" s="45">
        <f>SUM(F38:Q38)</f>
        <v>28.61</v>
      </c>
      <c r="T38" s="152"/>
      <c r="U38" s="239"/>
      <c r="V38" s="319"/>
      <c r="W38" s="49"/>
      <c r="X38" s="49"/>
      <c r="Y38" s="52"/>
      <c r="AF38" s="49"/>
      <c r="AG38" s="49"/>
    </row>
    <row r="39" spans="1:33" ht="15.75" customHeight="1">
      <c r="A39" s="46" t="s">
        <v>100</v>
      </c>
      <c r="B39" s="46"/>
      <c r="C39" s="49"/>
      <c r="F39" s="45">
        <f>F38/$R38</f>
        <v>0.006990562740300595</v>
      </c>
      <c r="G39" s="45">
        <f aca="true" t="shared" si="6" ref="G39:Q39">G38/$R38</f>
        <v>0.017825934987766516</v>
      </c>
      <c r="H39" s="45">
        <f t="shared" si="6"/>
        <v>0.02376791331702202</v>
      </c>
      <c r="I39" s="45">
        <f t="shared" si="6"/>
        <v>0.051380636141209364</v>
      </c>
      <c r="J39" s="45">
        <f t="shared" si="6"/>
        <v>0.11219853198182454</v>
      </c>
      <c r="K39" s="45">
        <f t="shared" si="6"/>
        <v>0.22404753582663406</v>
      </c>
      <c r="L39" s="45">
        <f t="shared" si="6"/>
        <v>0.22824187347081443</v>
      </c>
      <c r="M39" s="45">
        <f t="shared" si="6"/>
        <v>0.18559944075498078</v>
      </c>
      <c r="N39" s="45">
        <f t="shared" si="6"/>
        <v>0.08283816847256205</v>
      </c>
      <c r="O39" s="45">
        <f t="shared" si="6"/>
        <v>0.04089479203075847</v>
      </c>
      <c r="P39" s="45">
        <f t="shared" si="6"/>
        <v>0.017825934987766516</v>
      </c>
      <c r="Q39" s="45">
        <f t="shared" si="6"/>
        <v>0.008388675288360714</v>
      </c>
      <c r="R39" s="45">
        <f>SUM(F39:Q39)</f>
        <v>1.0000000000000002</v>
      </c>
      <c r="T39" s="240" t="s">
        <v>395</v>
      </c>
      <c r="U39" s="239"/>
      <c r="V39" s="308">
        <v>0</v>
      </c>
      <c r="W39" s="49"/>
      <c r="X39" s="49"/>
      <c r="Y39" s="52"/>
      <c r="AC39" s="49"/>
      <c r="AD39" s="49"/>
      <c r="AE39" s="52"/>
      <c r="AF39" s="49"/>
      <c r="AG39" s="49"/>
    </row>
    <row r="40" spans="1:33" ht="15.75" customHeight="1" thickBot="1">
      <c r="A40" s="46"/>
      <c r="B40" s="46"/>
      <c r="C40" s="49"/>
      <c r="F40" s="49"/>
      <c r="G40" s="52"/>
      <c r="H40" s="49"/>
      <c r="I40" s="49"/>
      <c r="J40" s="49"/>
      <c r="K40" s="49"/>
      <c r="L40" s="49"/>
      <c r="M40" s="52"/>
      <c r="N40" s="49"/>
      <c r="O40" s="49"/>
      <c r="P40" s="49"/>
      <c r="Q40" s="49"/>
      <c r="R40" s="49"/>
      <c r="S40" s="52"/>
      <c r="T40" s="56"/>
      <c r="U40" s="239"/>
      <c r="V40" s="316"/>
      <c r="W40" s="49"/>
      <c r="X40" s="49"/>
      <c r="Y40" s="52"/>
      <c r="AC40" s="49"/>
      <c r="AD40" s="49"/>
      <c r="AE40" s="52"/>
      <c r="AF40" s="49"/>
      <c r="AG40" s="49"/>
    </row>
    <row r="41" spans="1:33" ht="15.75" thickBot="1">
      <c r="A41" s="136" t="s">
        <v>197</v>
      </c>
      <c r="B41" s="136"/>
      <c r="C41" s="137"/>
      <c r="D41" s="137"/>
      <c r="E41" s="137"/>
      <c r="F41" s="340">
        <v>24.48</v>
      </c>
      <c r="G41" s="145" t="s">
        <v>10</v>
      </c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56"/>
      <c r="U41" s="239"/>
      <c r="V41" s="319"/>
      <c r="W41" s="49"/>
      <c r="X41" s="49"/>
      <c r="Y41" s="52"/>
      <c r="AC41" s="49"/>
      <c r="AD41" s="49"/>
      <c r="AE41" s="52"/>
      <c r="AF41" s="49"/>
      <c r="AG41" s="49"/>
    </row>
    <row r="42" spans="1:33" ht="15.75">
      <c r="A42" s="46"/>
      <c r="B42" s="46"/>
      <c r="C42" s="49"/>
      <c r="F42" s="53" t="s">
        <v>89</v>
      </c>
      <c r="G42" s="53" t="s">
        <v>90</v>
      </c>
      <c r="H42" s="53" t="s">
        <v>91</v>
      </c>
      <c r="I42" s="53" t="s">
        <v>92</v>
      </c>
      <c r="J42" s="53" t="s">
        <v>23</v>
      </c>
      <c r="K42" s="53" t="s">
        <v>93</v>
      </c>
      <c r="L42" s="53" t="s">
        <v>94</v>
      </c>
      <c r="M42" s="53" t="s">
        <v>95</v>
      </c>
      <c r="N42" s="53" t="s">
        <v>96</v>
      </c>
      <c r="O42" s="53" t="s">
        <v>97</v>
      </c>
      <c r="P42" s="53" t="s">
        <v>98</v>
      </c>
      <c r="Q42" s="53" t="s">
        <v>99</v>
      </c>
      <c r="R42" s="53" t="s">
        <v>73</v>
      </c>
      <c r="T42" s="56"/>
      <c r="U42" s="239"/>
      <c r="V42" s="319"/>
      <c r="W42" s="49"/>
      <c r="X42" s="49"/>
      <c r="Y42" s="52"/>
      <c r="AC42" s="49"/>
      <c r="AD42" s="49"/>
      <c r="AE42" s="52"/>
      <c r="AF42" s="49"/>
      <c r="AG42" s="49"/>
    </row>
    <row r="43" spans="1:33" ht="15.75">
      <c r="A43" s="46"/>
      <c r="B43" s="46"/>
      <c r="C43" s="49"/>
      <c r="F43" s="53"/>
      <c r="G43" s="50"/>
      <c r="H43" s="50"/>
      <c r="I43" s="53"/>
      <c r="J43" s="50"/>
      <c r="K43" s="50"/>
      <c r="L43" s="50"/>
      <c r="M43" s="50"/>
      <c r="N43" s="53"/>
      <c r="O43" s="50"/>
      <c r="P43" s="53"/>
      <c r="Q43" s="50"/>
      <c r="R43" s="53"/>
      <c r="T43" s="56" t="s">
        <v>253</v>
      </c>
      <c r="U43" s="239"/>
      <c r="V43" s="350">
        <v>0</v>
      </c>
      <c r="W43" s="49"/>
      <c r="X43" s="49"/>
      <c r="Y43" s="52"/>
      <c r="AC43" s="49"/>
      <c r="AD43" s="49"/>
      <c r="AE43" s="52"/>
      <c r="AF43" s="49"/>
      <c r="AG43" s="49"/>
    </row>
    <row r="44" spans="1:33" ht="15.75">
      <c r="A44" s="46" t="s">
        <v>7</v>
      </c>
      <c r="B44" s="46"/>
      <c r="C44" s="49"/>
      <c r="F44" s="49">
        <f>F39*$F41</f>
        <v>0.17112897588255857</v>
      </c>
      <c r="G44" s="49">
        <f aca="true" t="shared" si="7" ref="G44:Q44">G39*$F41</f>
        <v>0.4363788885005243</v>
      </c>
      <c r="H44" s="49">
        <f t="shared" si="7"/>
        <v>0.5818385180006991</v>
      </c>
      <c r="I44" s="49">
        <f t="shared" si="7"/>
        <v>1.2577979727368052</v>
      </c>
      <c r="J44" s="49">
        <f t="shared" si="7"/>
        <v>2.7466200629150648</v>
      </c>
      <c r="K44" s="49">
        <f t="shared" si="7"/>
        <v>5.484683677036002</v>
      </c>
      <c r="L44" s="49">
        <f t="shared" si="7"/>
        <v>5.587361062565537</v>
      </c>
      <c r="M44" s="49">
        <f t="shared" si="7"/>
        <v>4.54347430968193</v>
      </c>
      <c r="N44" s="49">
        <f t="shared" si="7"/>
        <v>2.027878364208319</v>
      </c>
      <c r="O44" s="49">
        <f t="shared" si="7"/>
        <v>1.0011045089129673</v>
      </c>
      <c r="P44" s="49">
        <f t="shared" si="7"/>
        <v>0.4363788885005243</v>
      </c>
      <c r="Q44" s="49">
        <f t="shared" si="7"/>
        <v>0.20535477105907027</v>
      </c>
      <c r="R44" s="49">
        <f>SUM(F44:Q44)</f>
        <v>24.480000000000004</v>
      </c>
      <c r="T44" s="153"/>
      <c r="U44" s="239"/>
      <c r="V44" s="320"/>
      <c r="W44" s="49"/>
      <c r="X44" s="49"/>
      <c r="Y44" s="52"/>
      <c r="AC44" s="49"/>
      <c r="AD44" s="49"/>
      <c r="AE44" s="52"/>
      <c r="AF44" s="49"/>
      <c r="AG44" s="49"/>
    </row>
    <row r="45" spans="1:33" ht="15.75">
      <c r="A45" s="46" t="s">
        <v>6</v>
      </c>
      <c r="B45" s="46"/>
      <c r="C45" s="49"/>
      <c r="F45" s="49">
        <f aca="true" t="shared" si="8" ref="F45:Q45">F44/12</f>
        <v>0.014260747990213214</v>
      </c>
      <c r="G45" s="49">
        <f t="shared" si="8"/>
        <v>0.03636490737504369</v>
      </c>
      <c r="H45" s="49">
        <f t="shared" si="8"/>
        <v>0.048486543166724926</v>
      </c>
      <c r="I45" s="49">
        <f t="shared" si="8"/>
        <v>0.1048164977280671</v>
      </c>
      <c r="J45" s="49">
        <f t="shared" si="8"/>
        <v>0.22888500524292207</v>
      </c>
      <c r="K45" s="49">
        <f t="shared" si="8"/>
        <v>0.4570569730863335</v>
      </c>
      <c r="L45" s="49">
        <f t="shared" si="8"/>
        <v>0.46561342188046145</v>
      </c>
      <c r="M45" s="49">
        <f t="shared" si="8"/>
        <v>0.3786228591401608</v>
      </c>
      <c r="N45" s="49">
        <f t="shared" si="8"/>
        <v>0.16898986368402658</v>
      </c>
      <c r="O45" s="49">
        <f t="shared" si="8"/>
        <v>0.08342537574274728</v>
      </c>
      <c r="P45" s="49">
        <f t="shared" si="8"/>
        <v>0.03636490737504369</v>
      </c>
      <c r="Q45" s="49">
        <f t="shared" si="8"/>
        <v>0.017112897588255856</v>
      </c>
      <c r="R45" s="49">
        <f>SUM(F45:Q45)</f>
        <v>2.04</v>
      </c>
      <c r="T45" s="153"/>
      <c r="U45" s="239"/>
      <c r="V45" s="320"/>
      <c r="W45" s="49"/>
      <c r="X45" s="49"/>
      <c r="Y45" s="52"/>
      <c r="AC45" s="49"/>
      <c r="AD45" s="49"/>
      <c r="AE45" s="52"/>
      <c r="AF45" s="49"/>
      <c r="AG45" s="49"/>
    </row>
    <row r="46" spans="20:33" ht="15.75">
      <c r="T46" s="153"/>
      <c r="U46" s="239"/>
      <c r="V46" s="308"/>
      <c r="W46" s="49"/>
      <c r="X46" s="49"/>
      <c r="Y46" s="52"/>
      <c r="AC46" s="49"/>
      <c r="AD46" s="49"/>
      <c r="AE46" s="52"/>
      <c r="AF46" s="49"/>
      <c r="AG46" s="49"/>
    </row>
    <row r="47" spans="20:33" ht="15.75">
      <c r="T47" s="56" t="s">
        <v>314</v>
      </c>
      <c r="U47" s="239"/>
      <c r="V47" s="308">
        <v>198.96</v>
      </c>
      <c r="W47" s="49"/>
      <c r="X47" s="49"/>
      <c r="Y47" s="52"/>
      <c r="AC47" s="49"/>
      <c r="AD47" s="49"/>
      <c r="AE47" s="52"/>
      <c r="AF47" s="49"/>
      <c r="AG47" s="49"/>
    </row>
    <row r="48" spans="20:33" ht="15.75">
      <c r="T48" s="56"/>
      <c r="U48" s="239"/>
      <c r="V48" s="290"/>
      <c r="W48" s="49"/>
      <c r="X48" s="49"/>
      <c r="Y48" s="52"/>
      <c r="AC48" s="49"/>
      <c r="AD48" s="49"/>
      <c r="AE48" s="52"/>
      <c r="AF48" s="49"/>
      <c r="AG48" s="49"/>
    </row>
    <row r="49" spans="20:33" ht="15.75">
      <c r="T49" s="153" t="s">
        <v>175</v>
      </c>
      <c r="U49" s="239"/>
      <c r="V49" s="308">
        <v>0</v>
      </c>
      <c r="W49" s="49"/>
      <c r="X49" s="49"/>
      <c r="Y49" s="52"/>
      <c r="AC49" s="49"/>
      <c r="AD49" s="49"/>
      <c r="AE49" s="52"/>
      <c r="AF49" s="49"/>
      <c r="AG49" s="49"/>
    </row>
    <row r="50" spans="20:33" ht="15.75">
      <c r="T50" s="153" t="s">
        <v>176</v>
      </c>
      <c r="U50" s="239"/>
      <c r="V50" s="308">
        <v>0</v>
      </c>
      <c r="W50" s="49"/>
      <c r="X50" s="49"/>
      <c r="Y50" s="52"/>
      <c r="AC50" s="49"/>
      <c r="AD50" s="49"/>
      <c r="AE50" s="52"/>
      <c r="AF50" s="49"/>
      <c r="AG50" s="49"/>
    </row>
    <row r="51" spans="2:33" ht="15.75">
      <c r="B51" s="112"/>
      <c r="T51" s="56" t="s">
        <v>177</v>
      </c>
      <c r="U51" s="239"/>
      <c r="V51" s="308">
        <v>0</v>
      </c>
      <c r="W51" s="49"/>
      <c r="X51" s="49"/>
      <c r="Y51" s="52"/>
      <c r="AC51" s="49"/>
      <c r="AD51" s="49"/>
      <c r="AE51" s="52"/>
      <c r="AF51" s="49"/>
      <c r="AG51" s="49"/>
    </row>
    <row r="52" spans="2:33" ht="15.75">
      <c r="B52" s="112"/>
      <c r="T52" s="56" t="s">
        <v>178</v>
      </c>
      <c r="U52" s="240"/>
      <c r="V52" s="308">
        <v>18.21</v>
      </c>
      <c r="W52" s="49"/>
      <c r="X52" s="49"/>
      <c r="Y52" s="52"/>
      <c r="AC52" s="49"/>
      <c r="AD52" s="49"/>
      <c r="AE52" s="52"/>
      <c r="AF52" s="49"/>
      <c r="AG52" s="49"/>
    </row>
    <row r="53" spans="1:33" s="49" customFormat="1" ht="15.75">
      <c r="A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P53" s="118"/>
      <c r="Q53" s="118"/>
      <c r="R53" s="118"/>
      <c r="S53" s="118"/>
      <c r="T53" s="56"/>
      <c r="U53" s="240"/>
      <c r="V53" s="309"/>
      <c r="AC53" s="46"/>
      <c r="AD53" s="46"/>
      <c r="AE53" s="50"/>
      <c r="AF53" s="46"/>
      <c r="AG53" s="46"/>
    </row>
    <row r="54" spans="2:33" ht="15.75">
      <c r="B54" s="112"/>
      <c r="P54" s="112"/>
      <c r="T54" s="56"/>
      <c r="U54" s="240"/>
      <c r="V54" s="290"/>
      <c r="W54" s="49"/>
      <c r="X54" s="49"/>
      <c r="Y54" s="52"/>
      <c r="AC54" s="49"/>
      <c r="AD54" s="49"/>
      <c r="AE54" s="52"/>
      <c r="AF54" s="49"/>
      <c r="AG54" s="49"/>
    </row>
    <row r="55" spans="2:33" ht="15.75">
      <c r="B55" s="112"/>
      <c r="T55" s="56" t="s">
        <v>315</v>
      </c>
      <c r="U55" s="240"/>
      <c r="V55" s="351">
        <v>0</v>
      </c>
      <c r="W55" s="49"/>
      <c r="X55" s="49"/>
      <c r="Y55" s="52"/>
      <c r="AC55" s="49"/>
      <c r="AD55" s="49"/>
      <c r="AE55" s="52"/>
      <c r="AF55" s="49"/>
      <c r="AG55" s="49"/>
    </row>
    <row r="56" spans="2:33" ht="15.75">
      <c r="B56" s="112"/>
      <c r="T56" s="197" t="s">
        <v>15</v>
      </c>
      <c r="U56" s="45"/>
      <c r="V56" s="46">
        <f>SUM(V37:V55)</f>
        <v>226.84</v>
      </c>
      <c r="W56" s="49"/>
      <c r="Y56" s="52"/>
      <c r="AC56" s="49"/>
      <c r="AD56" s="49"/>
      <c r="AE56" s="52"/>
      <c r="AF56" s="49"/>
      <c r="AG56" s="49"/>
    </row>
    <row r="57" spans="2:33" ht="15.75">
      <c r="B57" s="112"/>
      <c r="W57" s="49"/>
      <c r="X57" s="49"/>
      <c r="Y57" s="52"/>
      <c r="AC57" s="49"/>
      <c r="AD57" s="49"/>
      <c r="AE57" s="52"/>
      <c r="AF57" s="49"/>
      <c r="AG57" s="49"/>
    </row>
    <row r="58" ht="15.75">
      <c r="B58" s="112"/>
    </row>
    <row r="59" ht="15.75">
      <c r="B59" s="112"/>
    </row>
    <row r="60" ht="15.75">
      <c r="B60" s="112"/>
    </row>
    <row r="61" ht="15.75">
      <c r="B61" s="112"/>
    </row>
    <row r="62" ht="15.75">
      <c r="B62" s="112"/>
    </row>
  </sheetData>
  <sheetProtection password="CC93" sheet="1" objects="1" scenarios="1"/>
  <mergeCells count="5">
    <mergeCell ref="A3:C3"/>
    <mergeCell ref="E5:J5"/>
    <mergeCell ref="S26:X26"/>
    <mergeCell ref="F26:K26"/>
    <mergeCell ref="L26:Q26"/>
  </mergeCells>
  <printOptions gridLines="1" horizontalCentered="1"/>
  <pageMargins left="0.75" right="0.25" top="0.75" bottom="0.75" header="0.5" footer="0.5"/>
  <pageSetup fitToHeight="1" fitToWidth="1" horizontalDpi="600" verticalDpi="600" orientation="landscape" paperSize="17" scale="66" r:id="rId3"/>
  <headerFooter alignWithMargins="0">
    <oddHeader>&amp;L&amp;D</oddHeader>
    <oddFooter>&amp;L&amp;F&amp;R&amp;A</oddFooter>
  </headerFooter>
  <colBreaks count="1" manualBreakCount="1">
    <brk id="46" max="65535" man="1"/>
  </col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zoomScaleSheetLayoutView="100" workbookViewId="0" topLeftCell="A1">
      <selection activeCell="O1" sqref="O1"/>
    </sheetView>
  </sheetViews>
  <sheetFormatPr defaultColWidth="9.140625" defaultRowHeight="12.75"/>
  <cols>
    <col min="1" max="1" width="27.421875" style="65" customWidth="1"/>
    <col min="2" max="3" width="13.140625" style="65" customWidth="1"/>
    <col min="4" max="4" width="11.7109375" style="65" customWidth="1"/>
    <col min="5" max="5" width="10.57421875" style="65" customWidth="1"/>
    <col min="6" max="8" width="9.140625" style="65" hidden="1" customWidth="1"/>
    <col min="9" max="9" width="8.8515625" style="65" hidden="1" customWidth="1"/>
    <col min="10" max="10" width="12.00390625" style="65" customWidth="1"/>
    <col min="11" max="11" width="8.421875" style="65" customWidth="1"/>
    <col min="12" max="16384" width="9.140625" style="65" customWidth="1"/>
  </cols>
  <sheetData>
    <row r="1" spans="1:12" ht="15.75">
      <c r="A1" s="264" t="s">
        <v>408</v>
      </c>
      <c r="B1" s="265"/>
      <c r="C1" s="265"/>
      <c r="D1" s="265"/>
      <c r="E1" s="265"/>
      <c r="F1" s="266"/>
      <c r="G1" s="266"/>
      <c r="H1" s="266"/>
      <c r="I1" s="266"/>
      <c r="J1" s="266"/>
      <c r="K1" s="266"/>
      <c r="L1" s="266"/>
    </row>
    <row r="2" spans="1:3" s="102" customFormat="1" ht="50.25" customHeight="1">
      <c r="A2" s="102" t="s">
        <v>80</v>
      </c>
      <c r="B2" s="102" t="s">
        <v>294</v>
      </c>
      <c r="C2" s="102" t="s">
        <v>186</v>
      </c>
    </row>
    <row r="3" ht="12.75">
      <c r="A3" s="65" t="s">
        <v>102</v>
      </c>
    </row>
    <row r="4" spans="1:5" ht="12.75">
      <c r="A4" s="65" t="s">
        <v>103</v>
      </c>
      <c r="B4" s="81">
        <v>225</v>
      </c>
      <c r="C4" s="81">
        <f>luna!S32</f>
        <v>174.78</v>
      </c>
      <c r="D4" s="81"/>
      <c r="E4" s="81"/>
    </row>
    <row r="5" spans="1:5" ht="12.75">
      <c r="A5" s="65" t="s">
        <v>104</v>
      </c>
      <c r="B5" s="81">
        <v>316</v>
      </c>
      <c r="C5" s="81">
        <f>apachearagon!S31</f>
        <v>170.82</v>
      </c>
      <c r="D5" s="81"/>
      <c r="E5" s="81"/>
    </row>
    <row r="6" spans="1:5" ht="12.75">
      <c r="A6" s="65" t="s">
        <v>105</v>
      </c>
      <c r="B6" s="81">
        <v>725</v>
      </c>
      <c r="C6" s="81">
        <f>reserve!S32</f>
        <v>313.59999999999997</v>
      </c>
      <c r="D6" s="81"/>
      <c r="E6" s="81"/>
    </row>
    <row r="7" spans="1:5" ht="12.75">
      <c r="A7" s="65" t="s">
        <v>259</v>
      </c>
      <c r="B7" s="81">
        <v>1003</v>
      </c>
      <c r="C7" s="81">
        <f>glenwood!S32</f>
        <v>423.15000000000003</v>
      </c>
      <c r="D7" s="81"/>
      <c r="E7" s="81"/>
    </row>
    <row r="8" spans="1:5" ht="12.75">
      <c r="A8" s="65" t="s">
        <v>107</v>
      </c>
      <c r="B8" s="81">
        <f>SUM(B4:B7)</f>
        <v>2269</v>
      </c>
      <c r="C8" s="81">
        <f>SUM(C4:C7)</f>
        <v>1082.3500000000001</v>
      </c>
      <c r="D8" s="81"/>
      <c r="E8" s="81"/>
    </row>
    <row r="9" spans="2:5" ht="12.75">
      <c r="B9" s="81"/>
      <c r="C9" s="81"/>
      <c r="D9" s="81"/>
      <c r="E9" s="81"/>
    </row>
    <row r="10" spans="1:5" ht="12.75">
      <c r="A10" s="65" t="s">
        <v>108</v>
      </c>
      <c r="B10" s="81"/>
      <c r="C10" s="81"/>
      <c r="D10" s="81"/>
      <c r="E10" s="81"/>
    </row>
    <row r="11" spans="1:5" ht="12.75">
      <c r="A11" s="65" t="s">
        <v>109</v>
      </c>
      <c r="B11" s="81"/>
      <c r="C11" s="81"/>
      <c r="D11" s="81"/>
      <c r="E11" s="81"/>
    </row>
    <row r="12" spans="1:5" ht="12.75">
      <c r="A12" s="65" t="s">
        <v>110</v>
      </c>
      <c r="B12" s="81">
        <v>287</v>
      </c>
      <c r="C12" s="81">
        <f>uppergila!S31</f>
        <v>56.68</v>
      </c>
      <c r="D12" s="81"/>
      <c r="E12" s="81"/>
    </row>
    <row r="13" spans="1:5" ht="12.75">
      <c r="A13" s="65" t="s">
        <v>111</v>
      </c>
      <c r="B13" s="81">
        <v>5314</v>
      </c>
      <c r="C13" s="81">
        <f>cliffgila!S32</f>
        <v>1865.54</v>
      </c>
      <c r="D13" s="81"/>
      <c r="E13" s="81"/>
    </row>
    <row r="14" spans="1:5" ht="12.75">
      <c r="A14" s="65" t="s">
        <v>112</v>
      </c>
      <c r="B14" s="81">
        <v>1456</v>
      </c>
      <c r="C14" s="81">
        <f>redrock!V31</f>
        <v>212.66</v>
      </c>
      <c r="D14" s="81"/>
      <c r="E14" s="81"/>
    </row>
    <row r="15" spans="1:5" ht="12.75">
      <c r="A15" s="65" t="s">
        <v>107</v>
      </c>
      <c r="B15" s="81">
        <f>SUM(B12:B14)</f>
        <v>7057</v>
      </c>
      <c r="C15" s="81">
        <f>SUM(C12:C14)</f>
        <v>2134.88</v>
      </c>
      <c r="D15" s="81"/>
      <c r="E15" s="81"/>
    </row>
    <row r="16" spans="2:5" ht="12.75">
      <c r="B16" s="81"/>
      <c r="C16" s="81"/>
      <c r="D16" s="81"/>
      <c r="E16" s="81"/>
    </row>
    <row r="17" spans="1:5" ht="12.75">
      <c r="A17" s="65" t="s">
        <v>113</v>
      </c>
      <c r="B17" s="81"/>
      <c r="C17" s="81"/>
      <c r="D17" s="81"/>
      <c r="E17" s="81"/>
    </row>
    <row r="18" spans="1:5" ht="12.75">
      <c r="A18" s="65" t="s">
        <v>114</v>
      </c>
      <c r="B18" s="81">
        <v>381</v>
      </c>
      <c r="C18" s="81">
        <f>virden!S31</f>
        <v>220.61</v>
      </c>
      <c r="D18" s="81"/>
      <c r="E18" s="81"/>
    </row>
    <row r="19" spans="2:5" ht="12.75">
      <c r="B19" s="81"/>
      <c r="C19" s="81"/>
      <c r="D19" s="81"/>
      <c r="E19" s="81"/>
    </row>
    <row r="20" spans="1:5" ht="12.75">
      <c r="A20" s="65" t="s">
        <v>87</v>
      </c>
      <c r="B20" s="81"/>
      <c r="C20" s="81"/>
      <c r="D20" s="81"/>
      <c r="E20" s="81"/>
    </row>
    <row r="21" spans="1:5" ht="12.75">
      <c r="A21" s="65" t="s">
        <v>115</v>
      </c>
      <c r="B21" s="81">
        <v>2900</v>
      </c>
      <c r="C21" s="81">
        <f>sansimon!S31</f>
        <v>202.01999999999998</v>
      </c>
      <c r="D21" s="81"/>
      <c r="E21" s="81"/>
    </row>
    <row r="25" spans="1:13" ht="15.75">
      <c r="A25" s="267" t="s">
        <v>409</v>
      </c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/>
    </row>
    <row r="26" spans="1:13" ht="12.75">
      <c r="A26" s="227"/>
      <c r="B26" s="409" t="s">
        <v>340</v>
      </c>
      <c r="C26" s="410"/>
      <c r="D26" s="410"/>
      <c r="H26" s="94"/>
      <c r="I26" s="94"/>
      <c r="J26" s="94"/>
      <c r="K26" s="94"/>
      <c r="L26" s="94"/>
      <c r="M26" s="94"/>
    </row>
    <row r="27" spans="1:14" ht="38.25">
      <c r="A27" s="101" t="s">
        <v>80</v>
      </c>
      <c r="B27" s="101" t="s">
        <v>144</v>
      </c>
      <c r="C27" s="101" t="s">
        <v>125</v>
      </c>
      <c r="D27" s="101" t="s">
        <v>156</v>
      </c>
      <c r="E27" s="101" t="s">
        <v>342</v>
      </c>
      <c r="F27" s="101" t="s">
        <v>126</v>
      </c>
      <c r="G27" s="101" t="s">
        <v>127</v>
      </c>
      <c r="H27" s="101" t="s">
        <v>116</v>
      </c>
      <c r="I27" s="101" t="s">
        <v>128</v>
      </c>
      <c r="J27" s="101" t="s">
        <v>257</v>
      </c>
      <c r="K27" s="101" t="s">
        <v>335</v>
      </c>
      <c r="L27" s="101" t="s">
        <v>336</v>
      </c>
      <c r="M27" s="414" t="s">
        <v>339</v>
      </c>
      <c r="N27" s="69"/>
    </row>
    <row r="28" spans="1:14" ht="12.75">
      <c r="A28" s="65" t="s">
        <v>102</v>
      </c>
      <c r="M28" s="414"/>
      <c r="N28" s="69"/>
    </row>
    <row r="29" spans="1:14" ht="12.75">
      <c r="A29" s="65" t="s">
        <v>103</v>
      </c>
      <c r="B29" s="65">
        <f>G29-H29+I29</f>
        <v>167.09211435510178</v>
      </c>
      <c r="F29" s="65">
        <f>luna!S32</f>
        <v>174.78</v>
      </c>
      <c r="G29" s="65">
        <f>luna!T32</f>
        <v>204.99205</v>
      </c>
      <c r="H29" s="65">
        <f>luna!U32</f>
        <v>53.060288465059</v>
      </c>
      <c r="I29" s="65">
        <f>luna!W32</f>
        <v>15.16035282016077</v>
      </c>
      <c r="M29" s="414"/>
      <c r="N29" s="69"/>
    </row>
    <row r="30" spans="1:14" ht="12.75">
      <c r="A30" s="65" t="s">
        <v>104</v>
      </c>
      <c r="B30" s="65">
        <f>G30-H30+I30</f>
        <v>155.69042265910278</v>
      </c>
      <c r="F30" s="65">
        <f>apachearagon!S31</f>
        <v>170.82</v>
      </c>
      <c r="G30" s="65">
        <f>apachearagon!T31</f>
        <v>157.98071666666667</v>
      </c>
      <c r="H30" s="65">
        <f>apachearagon!U31</f>
        <v>5.714271825058091</v>
      </c>
      <c r="I30" s="65">
        <f>apachearagon!W31</f>
        <v>3.4239778174941913</v>
      </c>
      <c r="M30" s="414"/>
      <c r="N30" s="69"/>
    </row>
    <row r="31" spans="1:14" ht="12.75">
      <c r="A31" s="65" t="s">
        <v>105</v>
      </c>
      <c r="B31" s="65">
        <f>G31-H31+I31</f>
        <v>488.77983895706245</v>
      </c>
      <c r="F31" s="65">
        <f>reserve!S32</f>
        <v>313.59999999999997</v>
      </c>
      <c r="G31" s="65">
        <f>reserve!T32</f>
        <v>577.4231333333332</v>
      </c>
      <c r="H31" s="65">
        <f>reserve!U32</f>
        <v>133.0778251905492</v>
      </c>
      <c r="I31" s="65">
        <f>reserve!W32</f>
        <v>44.43453081427842</v>
      </c>
      <c r="M31" s="414"/>
      <c r="N31" s="69"/>
    </row>
    <row r="32" spans="1:14" ht="12.75">
      <c r="A32" s="65" t="s">
        <v>259</v>
      </c>
      <c r="B32" s="65">
        <f>G32-H32+I32</f>
        <v>892.2509403673187</v>
      </c>
      <c r="F32" s="65">
        <f>glenwood!S32</f>
        <v>423.15000000000003</v>
      </c>
      <c r="G32" s="65">
        <f>glenwood!T32</f>
        <v>828.5988833333333</v>
      </c>
      <c r="H32" s="65">
        <f>glenwood!U32</f>
        <v>17.39649148425576</v>
      </c>
      <c r="I32" s="65">
        <f>glenwood!W32</f>
        <v>81.04854851824109</v>
      </c>
      <c r="M32" s="414"/>
      <c r="N32" s="69"/>
    </row>
    <row r="33" spans="1:14" ht="12.75">
      <c r="A33" s="65" t="s">
        <v>107</v>
      </c>
      <c r="B33" s="65">
        <f>G33-H33+I33</f>
        <v>1703.8133163385855</v>
      </c>
      <c r="C33" s="81">
        <f>'stock-dom-com-ind-evap'!H120+'stock-dom-com-ind-evap'!H124</f>
        <v>410.96290166666665</v>
      </c>
      <c r="D33" s="81">
        <f>'stock-dom-com-ind-evap'!E52</f>
        <v>117.18378817312208</v>
      </c>
      <c r="E33" s="81">
        <f>'stock-dom-com-ind-evap'!D61</f>
        <v>111.91955</v>
      </c>
      <c r="F33" s="81">
        <f>SUM(F29:F32)</f>
        <v>1082.3500000000001</v>
      </c>
      <c r="G33" s="81">
        <f>SUM(G29:G32)</f>
        <v>1768.994783333333</v>
      </c>
      <c r="H33" s="81">
        <f>SUM(H29:H32)</f>
        <v>209.24887696492203</v>
      </c>
      <c r="I33" s="81">
        <f>SUM(I29:I32)</f>
        <v>144.06740997017448</v>
      </c>
      <c r="J33" s="81">
        <v>0</v>
      </c>
      <c r="K33" s="81">
        <f>B33+C33+D33+E33+J33</f>
        <v>2343.8795561783745</v>
      </c>
      <c r="L33" s="81">
        <v>4112</v>
      </c>
      <c r="M33" s="414"/>
      <c r="N33" s="69"/>
    </row>
    <row r="34" spans="2:14" ht="12.75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414"/>
      <c r="N34" s="69"/>
    </row>
    <row r="35" spans="1:14" ht="12.75">
      <c r="A35" s="65" t="s">
        <v>108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414"/>
      <c r="N35" s="69"/>
    </row>
    <row r="36" spans="1:14" ht="12.75">
      <c r="A36" s="69" t="s">
        <v>164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414"/>
      <c r="N36" s="69"/>
    </row>
    <row r="37" spans="1:14" ht="12.75">
      <c r="A37" s="65" t="s">
        <v>110</v>
      </c>
      <c r="B37" s="65">
        <f>G37-H37+I37</f>
        <v>91.39093333333332</v>
      </c>
      <c r="C37" s="81"/>
      <c r="D37" s="81"/>
      <c r="E37" s="81"/>
      <c r="F37" s="81">
        <f>uppergila!S31</f>
        <v>56.68</v>
      </c>
      <c r="G37" s="81">
        <f>uppergila!T31</f>
        <v>83.08266666666665</v>
      </c>
      <c r="H37" s="81">
        <f>uppergila!U31</f>
        <v>0</v>
      </c>
      <c r="I37" s="81">
        <f>uppergila!W31</f>
        <v>8.308266666666666</v>
      </c>
      <c r="J37" s="81"/>
      <c r="K37" s="81"/>
      <c r="L37" s="81"/>
      <c r="M37" s="414"/>
      <c r="N37" s="69"/>
    </row>
    <row r="38" spans="1:14" ht="12.75">
      <c r="A38" s="65" t="s">
        <v>111</v>
      </c>
      <c r="B38" s="65">
        <f>G38-H38+I38</f>
        <v>3849.3440151666678</v>
      </c>
      <c r="C38" s="81"/>
      <c r="D38" s="81"/>
      <c r="E38" s="81"/>
      <c r="F38" s="81">
        <f>cliffgila!S32</f>
        <v>1865.54</v>
      </c>
      <c r="G38" s="81">
        <f>cliffgila!T32</f>
        <v>3500.8746083333344</v>
      </c>
      <c r="H38" s="81">
        <f>cliffgila!U32</f>
        <v>0</v>
      </c>
      <c r="I38" s="81">
        <f>cliffgila!W32</f>
        <v>348.46940683333344</v>
      </c>
      <c r="J38" s="81"/>
      <c r="K38" s="81"/>
      <c r="L38" s="81"/>
      <c r="M38" s="414"/>
      <c r="N38" s="69"/>
    </row>
    <row r="39" spans="1:14" ht="12.75">
      <c r="A39" s="65" t="s">
        <v>112</v>
      </c>
      <c r="B39" s="65">
        <f>G39-H39+I39</f>
        <v>438.6709614681268</v>
      </c>
      <c r="C39" s="81"/>
      <c r="D39" s="81"/>
      <c r="E39" s="81"/>
      <c r="F39" s="81">
        <f>redrock!V31</f>
        <v>212.66</v>
      </c>
      <c r="G39" s="81">
        <f>redrock!W31</f>
        <v>460.9405500000002</v>
      </c>
      <c r="H39" s="81">
        <f>redrock!X31</f>
        <v>62.14876684715765</v>
      </c>
      <c r="I39" s="81">
        <f>redrock!Z31</f>
        <v>39.87917831528426</v>
      </c>
      <c r="J39" s="81"/>
      <c r="K39" s="81"/>
      <c r="L39" s="81"/>
      <c r="M39" s="414"/>
      <c r="N39" s="69"/>
    </row>
    <row r="40" spans="1:14" ht="12.75">
      <c r="A40" s="65" t="s">
        <v>337</v>
      </c>
      <c r="B40" s="65">
        <f>G40-H40+I40</f>
        <v>4379.405909968128</v>
      </c>
      <c r="C40" s="81">
        <f>'stock-dom-com-ind-evap'!H139</f>
        <v>1098.3367083333335</v>
      </c>
      <c r="D40" s="81">
        <f>'stock-dom-com-ind-evap'!E28</f>
        <v>154.41851742053885</v>
      </c>
      <c r="E40" s="81">
        <f>'stock-dom-com-ind-evap'!D66</f>
        <v>3644.432783333333</v>
      </c>
      <c r="F40" s="81">
        <f>SUM(F37:F39)</f>
        <v>2134.88</v>
      </c>
      <c r="G40" s="81">
        <f>SUM(G37:G39)</f>
        <v>4044.8978250000014</v>
      </c>
      <c r="H40" s="81">
        <f>SUM(H37:H39)</f>
        <v>62.14876684715765</v>
      </c>
      <c r="I40" s="81">
        <f>SUM(I37:I39)</f>
        <v>396.65685181528437</v>
      </c>
      <c r="J40" s="81">
        <f>'stock-dom-com-ind-evap'!F91</f>
        <v>562.1877083333333</v>
      </c>
      <c r="K40" s="81">
        <f>B40+C40+D40+E40+J40</f>
        <v>9838.781627388666</v>
      </c>
      <c r="L40" s="81">
        <v>15895</v>
      </c>
      <c r="M40" s="414"/>
      <c r="N40" s="69"/>
    </row>
    <row r="41" spans="2:14" ht="12.75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414"/>
      <c r="N41" s="69"/>
    </row>
    <row r="42" spans="1:14" ht="12.75">
      <c r="A42" s="65" t="s">
        <v>113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414"/>
      <c r="N42" s="69"/>
    </row>
    <row r="43" spans="1:14" ht="12.75">
      <c r="A43" s="65" t="s">
        <v>114</v>
      </c>
      <c r="B43" s="65">
        <f>G43-H43+I43</f>
        <v>508.73769050000016</v>
      </c>
      <c r="C43" s="81">
        <f>'stock-dom-com-ind-evap'!H143</f>
        <v>26.91865000000001</v>
      </c>
      <c r="D43" s="81">
        <f>'stock-dom-com-ind-evap'!E34</f>
        <v>20.999995764935505</v>
      </c>
      <c r="E43" s="81">
        <f>'stock-dom-com-ind-evap'!D70</f>
        <v>4.08845</v>
      </c>
      <c r="F43" s="81">
        <f>virden!S31</f>
        <v>220.61</v>
      </c>
      <c r="G43" s="81">
        <f>virden!T31</f>
        <v>498.7624416666668</v>
      </c>
      <c r="H43" s="81">
        <f>virden!U31</f>
        <v>0</v>
      </c>
      <c r="I43" s="81">
        <f>virden!W31</f>
        <v>9.975248833333337</v>
      </c>
      <c r="J43" s="81">
        <v>0</v>
      </c>
      <c r="K43" s="81">
        <f>B43+C43+D43+E43+J43</f>
        <v>560.7447862649357</v>
      </c>
      <c r="L43" s="81">
        <f>838.2+265</f>
        <v>1103.2</v>
      </c>
      <c r="M43" s="414"/>
      <c r="N43" s="69"/>
    </row>
    <row r="44" spans="2:14" ht="12.75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414"/>
      <c r="N44" s="69"/>
    </row>
    <row r="45" spans="1:14" ht="12.75">
      <c r="A45" s="65" t="s">
        <v>87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414"/>
      <c r="N45" s="69"/>
    </row>
    <row r="46" spans="1:14" ht="12.75">
      <c r="A46" s="65" t="s">
        <v>115</v>
      </c>
      <c r="B46" s="65">
        <f>G46-H46+I46</f>
        <v>226.84</v>
      </c>
      <c r="C46" s="81">
        <f>'stock-dom-com-ind-evap'!H147</f>
        <v>122.08039999999997</v>
      </c>
      <c r="D46" s="81">
        <f>'stock-dom-com-ind-evap'!E39</f>
        <v>24.49999505909143</v>
      </c>
      <c r="E46" s="81">
        <f>'stock-dom-com-ind-evap'!D68</f>
        <v>12.45485</v>
      </c>
      <c r="F46" s="81">
        <f>sansimon!S31</f>
        <v>202.01999999999998</v>
      </c>
      <c r="G46" s="81">
        <f>sansimon!T31</f>
        <v>226.84</v>
      </c>
      <c r="H46" s="81">
        <f>sansimon!U31</f>
        <v>0</v>
      </c>
      <c r="I46" s="81">
        <f>sansimon!W31</f>
        <v>0</v>
      </c>
      <c r="J46" s="81">
        <v>0</v>
      </c>
      <c r="K46" s="81">
        <f>B46+C46+D46+E46+J46</f>
        <v>385.8752450590914</v>
      </c>
      <c r="L46" s="81">
        <v>8220</v>
      </c>
      <c r="M46" s="414"/>
      <c r="N46" s="69"/>
    </row>
    <row r="47" spans="1:14" ht="12.75">
      <c r="A47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414"/>
      <c r="N47" s="69"/>
    </row>
    <row r="48" spans="1:14" ht="12.75">
      <c r="A48" s="280" t="s">
        <v>338</v>
      </c>
      <c r="B48" s="81">
        <f>Freeport!B22</f>
        <v>2659.22</v>
      </c>
      <c r="C48" s="411" t="s">
        <v>397</v>
      </c>
      <c r="D48" s="412"/>
      <c r="E48" s="412"/>
      <c r="F48" s="412"/>
      <c r="G48" s="412"/>
      <c r="H48" s="412"/>
      <c r="I48" s="412"/>
      <c r="J48" s="412"/>
      <c r="K48" s="412"/>
      <c r="L48" s="412"/>
      <c r="N48" s="69"/>
    </row>
    <row r="49" spans="2:14" ht="12.75">
      <c r="B49" s="81"/>
      <c r="C49" s="412"/>
      <c r="D49" s="412"/>
      <c r="E49" s="412"/>
      <c r="F49" s="412"/>
      <c r="G49" s="412"/>
      <c r="H49" s="412"/>
      <c r="I49" s="412"/>
      <c r="J49" s="412"/>
      <c r="K49" s="412"/>
      <c r="L49" s="412"/>
      <c r="N49" s="69"/>
    </row>
    <row r="50" spans="3:14" ht="12.75">
      <c r="C50" s="281"/>
      <c r="N50" s="69"/>
    </row>
    <row r="51" spans="1:14" ht="15.75">
      <c r="A51" s="267" t="s">
        <v>410</v>
      </c>
      <c r="B51" s="269"/>
      <c r="C51" s="269"/>
      <c r="D51" s="269"/>
      <c r="E51" s="269"/>
      <c r="F51" s="269"/>
      <c r="G51" s="269"/>
      <c r="H51" s="269"/>
      <c r="I51" s="266"/>
      <c r="J51" s="266"/>
      <c r="K51" s="266"/>
      <c r="L51" s="266"/>
      <c r="N51" s="69"/>
    </row>
    <row r="52" spans="1:14" ht="12.75">
      <c r="A52" s="96"/>
      <c r="B52" s="96"/>
      <c r="C52" s="96"/>
      <c r="D52" s="96"/>
      <c r="E52"/>
      <c r="F52"/>
      <c r="G52"/>
      <c r="H52"/>
      <c r="N52" s="69"/>
    </row>
    <row r="53" spans="1:14" ht="12.75">
      <c r="A53" s="94"/>
      <c r="B53" s="413" t="s">
        <v>131</v>
      </c>
      <c r="C53" s="413"/>
      <c r="D53" s="413"/>
      <c r="E53"/>
      <c r="F53"/>
      <c r="G53"/>
      <c r="H53"/>
      <c r="N53" s="69"/>
    </row>
    <row r="54" spans="1:14" ht="39" customHeight="1">
      <c r="A54" s="100" t="s">
        <v>129</v>
      </c>
      <c r="B54" s="100" t="s">
        <v>137</v>
      </c>
      <c r="C54" s="100" t="s">
        <v>293</v>
      </c>
      <c r="D54" s="100" t="s">
        <v>278</v>
      </c>
      <c r="E54" s="68"/>
      <c r="F54" s="68"/>
      <c r="G54" s="68"/>
      <c r="H54" s="68"/>
      <c r="N54" s="69"/>
    </row>
    <row r="55" spans="1:14" ht="12.75">
      <c r="A55" s="360">
        <v>2005</v>
      </c>
      <c r="B55" s="361">
        <v>2750</v>
      </c>
      <c r="C55" s="361">
        <v>9350</v>
      </c>
      <c r="D55" s="361">
        <v>990</v>
      </c>
      <c r="E55"/>
      <c r="F55"/>
      <c r="G55"/>
      <c r="H55"/>
      <c r="N55" s="69"/>
    </row>
    <row r="56" spans="1:14" ht="12.75">
      <c r="A56" s="94">
        <f>A55+1</f>
        <v>2006</v>
      </c>
      <c r="B56" s="361">
        <v>2142</v>
      </c>
      <c r="C56" s="362">
        <v>7545</v>
      </c>
      <c r="D56" s="363">
        <v>902</v>
      </c>
      <c r="E56"/>
      <c r="F56"/>
      <c r="G56"/>
      <c r="H56"/>
      <c r="N56" s="69"/>
    </row>
    <row r="57" spans="1:14" ht="12.75">
      <c r="A57" s="94">
        <f aca="true" t="shared" si="0" ref="A57:A64">A56+1</f>
        <v>2007</v>
      </c>
      <c r="B57" s="364">
        <v>2493</v>
      </c>
      <c r="C57" s="361">
        <v>7950</v>
      </c>
      <c r="D57" s="361">
        <v>476</v>
      </c>
      <c r="E57"/>
      <c r="F57"/>
      <c r="G57"/>
      <c r="H57"/>
      <c r="N57" s="69"/>
    </row>
    <row r="58" spans="1:14" ht="12.75">
      <c r="A58" s="94">
        <f t="shared" si="0"/>
        <v>2008</v>
      </c>
      <c r="B58" s="364">
        <v>2553</v>
      </c>
      <c r="C58" s="361">
        <v>8196</v>
      </c>
      <c r="D58" s="361">
        <v>207</v>
      </c>
      <c r="E58"/>
      <c r="F58"/>
      <c r="G58"/>
      <c r="H58"/>
      <c r="N58" s="69"/>
    </row>
    <row r="59" spans="1:14" ht="12.75">
      <c r="A59" s="94">
        <f t="shared" si="0"/>
        <v>2009</v>
      </c>
      <c r="B59" s="364">
        <v>2349</v>
      </c>
      <c r="C59" s="361">
        <v>10054</v>
      </c>
      <c r="D59" s="361">
        <v>598</v>
      </c>
      <c r="E59"/>
      <c r="F59"/>
      <c r="G59"/>
      <c r="H59"/>
      <c r="N59" s="69"/>
    </row>
    <row r="60" spans="1:14" ht="12.75">
      <c r="A60" s="94">
        <f t="shared" si="0"/>
        <v>2010</v>
      </c>
      <c r="B60" s="364">
        <v>3039</v>
      </c>
      <c r="C60" s="361">
        <v>8805</v>
      </c>
      <c r="D60" s="361">
        <v>310</v>
      </c>
      <c r="E60"/>
      <c r="F60"/>
      <c r="G60"/>
      <c r="H60"/>
      <c r="N60" s="69"/>
    </row>
    <row r="61" spans="1:14" ht="12.75">
      <c r="A61" s="94">
        <f t="shared" si="0"/>
        <v>2011</v>
      </c>
      <c r="B61" s="364">
        <v>2676</v>
      </c>
      <c r="C61" s="361">
        <v>10503</v>
      </c>
      <c r="D61" s="361">
        <v>732</v>
      </c>
      <c r="E61"/>
      <c r="F61"/>
      <c r="G61"/>
      <c r="H61"/>
      <c r="N61" s="69"/>
    </row>
    <row r="62" spans="1:14" ht="12.75">
      <c r="A62" s="94">
        <f t="shared" si="0"/>
        <v>2012</v>
      </c>
      <c r="B62" s="364">
        <v>2815</v>
      </c>
      <c r="C62" s="361">
        <v>12896</v>
      </c>
      <c r="D62" s="361">
        <v>1097</v>
      </c>
      <c r="E62"/>
      <c r="F62"/>
      <c r="G62"/>
      <c r="H62"/>
      <c r="N62" s="69"/>
    </row>
    <row r="63" spans="1:14" ht="12.75">
      <c r="A63" s="94">
        <f t="shared" si="0"/>
        <v>2013</v>
      </c>
      <c r="B63" s="361">
        <v>1951</v>
      </c>
      <c r="C63" s="361">
        <v>9644</v>
      </c>
      <c r="D63" s="361">
        <v>567</v>
      </c>
      <c r="E63"/>
      <c r="F63"/>
      <c r="G63"/>
      <c r="H63"/>
      <c r="N63" s="69"/>
    </row>
    <row r="64" spans="1:14" ht="12.75">
      <c r="A64" s="94">
        <f t="shared" si="0"/>
        <v>2014</v>
      </c>
      <c r="B64" s="81">
        <f>'Tables1,2,3,4'!K33</f>
        <v>2343.8795561783745</v>
      </c>
      <c r="C64" s="81">
        <f>'Tables1,2,3,4'!K40</f>
        <v>9838.781627388666</v>
      </c>
      <c r="D64" s="81">
        <f>'Tables1,2,3,4'!K46</f>
        <v>385.8752450590914</v>
      </c>
      <c r="E64"/>
      <c r="F64"/>
      <c r="G64"/>
      <c r="H64"/>
      <c r="N64" s="69"/>
    </row>
    <row r="65" spans="1:14" ht="12.75">
      <c r="A65" s="68" t="s">
        <v>332</v>
      </c>
      <c r="B65" s="82">
        <f>SUM(B55:B64)</f>
        <v>25111.879556178374</v>
      </c>
      <c r="C65" s="82">
        <f>SUM(C55:C64)</f>
        <v>94781.78162738867</v>
      </c>
      <c r="D65" s="82">
        <f>SUM(D55:D64)</f>
        <v>6264.875245059091</v>
      </c>
      <c r="E65" s="63"/>
      <c r="F65" s="63"/>
      <c r="G65" s="63"/>
      <c r="H65" s="63"/>
      <c r="N65" s="69"/>
    </row>
    <row r="66" spans="1:14" ht="25.5">
      <c r="A66" s="68" t="s">
        <v>333</v>
      </c>
      <c r="B66" s="82">
        <v>31870</v>
      </c>
      <c r="C66" s="82">
        <v>136620</v>
      </c>
      <c r="D66" s="82">
        <v>72000</v>
      </c>
      <c r="E66" s="63"/>
      <c r="F66" s="63"/>
      <c r="G66" s="63"/>
      <c r="H66" s="63"/>
      <c r="N66" s="69"/>
    </row>
    <row r="69" spans="1:12" ht="15.75">
      <c r="A69" s="267" t="s">
        <v>411</v>
      </c>
      <c r="B69" s="269"/>
      <c r="C69" s="266"/>
      <c r="D69" s="266"/>
      <c r="E69" s="266"/>
      <c r="F69" s="266"/>
      <c r="G69" s="266"/>
      <c r="H69" s="266"/>
      <c r="I69" s="266"/>
      <c r="J69" s="266"/>
      <c r="K69" s="266"/>
      <c r="L69" s="266"/>
    </row>
    <row r="70" spans="1:2" ht="12.75">
      <c r="A70" s="96"/>
      <c r="B70" s="58"/>
    </row>
    <row r="71" spans="1:2" ht="12.75">
      <c r="A71" s="188" t="s">
        <v>80</v>
      </c>
      <c r="B71" s="188" t="s">
        <v>147</v>
      </c>
    </row>
    <row r="72" spans="1:2" ht="12.75">
      <c r="A72"/>
      <c r="B72" s="58"/>
    </row>
    <row r="73" spans="1:2" ht="12.75">
      <c r="A73" t="s">
        <v>18</v>
      </c>
      <c r="B73" s="76">
        <f>Diversions!F28</f>
        <v>16212.239864564282</v>
      </c>
    </row>
    <row r="74" spans="1:2" ht="12.75">
      <c r="A74" t="s">
        <v>130</v>
      </c>
      <c r="B74" s="76">
        <f>Diversions!F45</f>
        <v>32347.825227678804</v>
      </c>
    </row>
    <row r="75" spans="1:2" ht="12.75">
      <c r="A75" t="s">
        <v>155</v>
      </c>
      <c r="B75" s="76">
        <f>Diversions!F52</f>
        <v>915.0177030303032</v>
      </c>
    </row>
    <row r="76" spans="1:2" ht="12.75">
      <c r="A76" t="s">
        <v>44</v>
      </c>
      <c r="B76" s="76">
        <f>Diversions!F58</f>
        <v>251.74970000000002</v>
      </c>
    </row>
  </sheetData>
  <sheetProtection password="CC93" sheet="1" objects="1" scenarios="1" formatColumns="0"/>
  <mergeCells count="4">
    <mergeCell ref="B26:D26"/>
    <mergeCell ref="C48:L49"/>
    <mergeCell ref="B53:D53"/>
    <mergeCell ref="M27:M47"/>
  </mergeCells>
  <printOptions gridLines="1" horizontalCentered="1"/>
  <pageMargins left="0.67" right="0.42" top="0.75" bottom="0.75" header="0.5" footer="0.5"/>
  <pageSetup fitToHeight="0" fitToWidth="1" horizontalDpi="600" verticalDpi="600" orientation="portrait" scale="91" r:id="rId1"/>
  <rowBreaks count="1" manualBreakCount="1">
    <brk id="50" max="12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J52"/>
  <sheetViews>
    <sheetView zoomScaleSheetLayoutView="75" workbookViewId="0" topLeftCell="A1">
      <selection activeCell="L1" sqref="L1"/>
    </sheetView>
  </sheetViews>
  <sheetFormatPr defaultColWidth="9.140625" defaultRowHeight="12.75"/>
  <cols>
    <col min="1" max="1" width="29.7109375" style="0" customWidth="1"/>
    <col min="2" max="2" width="10.7109375" style="0" customWidth="1"/>
    <col min="4" max="4" width="11.421875" style="70" customWidth="1"/>
    <col min="5" max="5" width="11.140625" style="0" customWidth="1"/>
    <col min="8" max="8" width="10.00390625" style="0" customWidth="1"/>
    <col min="10" max="10" width="9.140625" style="70" customWidth="1"/>
  </cols>
  <sheetData>
    <row r="1" spans="1:10" s="38" customFormat="1" ht="15.75">
      <c r="A1" s="273" t="s">
        <v>412</v>
      </c>
      <c r="B1" s="274"/>
      <c r="C1" s="274"/>
      <c r="D1" s="274"/>
      <c r="E1" s="274"/>
      <c r="F1" s="274"/>
      <c r="G1" s="274"/>
      <c r="H1" s="274"/>
      <c r="J1" s="92"/>
    </row>
    <row r="2" ht="12.75">
      <c r="A2" t="s">
        <v>264</v>
      </c>
    </row>
    <row r="3" spans="1:10" s="36" customFormat="1" ht="15.75" customHeight="1">
      <c r="A3" s="188" t="s">
        <v>80</v>
      </c>
      <c r="B3" s="187" t="s">
        <v>288</v>
      </c>
      <c r="C3" s="101"/>
      <c r="D3" s="98"/>
      <c r="F3" s="99"/>
      <c r="G3" s="99"/>
      <c r="H3" s="98"/>
      <c r="I3" s="99"/>
      <c r="J3" s="98"/>
    </row>
    <row r="4" spans="1:8" ht="12.75">
      <c r="A4" s="69" t="s">
        <v>103</v>
      </c>
      <c r="B4" s="40">
        <f>luna!C29</f>
        <v>0.9541666666666668</v>
      </c>
      <c r="C4" s="40"/>
      <c r="H4" s="70"/>
    </row>
    <row r="5" spans="1:8" ht="12.75">
      <c r="A5" s="69" t="s">
        <v>104</v>
      </c>
      <c r="B5" s="40">
        <f>apachearagon!C28</f>
        <v>0.8691666666666666</v>
      </c>
      <c r="C5" s="40"/>
      <c r="H5" s="70"/>
    </row>
    <row r="6" spans="1:8" ht="12.75">
      <c r="A6" s="69" t="s">
        <v>105</v>
      </c>
      <c r="B6" s="40">
        <f>reserve!C29</f>
        <v>1.7683333333333333</v>
      </c>
      <c r="C6" s="40"/>
      <c r="H6" s="70"/>
    </row>
    <row r="7" spans="1:8" ht="12.75">
      <c r="A7" s="69" t="s">
        <v>106</v>
      </c>
      <c r="B7" s="40">
        <f>glenwood!C29</f>
        <v>1.9066666666666665</v>
      </c>
      <c r="C7" s="40"/>
      <c r="H7" s="70"/>
    </row>
    <row r="8" spans="1:8" ht="12.75">
      <c r="A8" s="69" t="s">
        <v>110</v>
      </c>
      <c r="B8" s="40">
        <f>uppergila!C28</f>
        <v>1.4266666666666665</v>
      </c>
      <c r="C8" s="40"/>
      <c r="H8" s="70"/>
    </row>
    <row r="9" spans="1:8" ht="12.75">
      <c r="A9" s="69" t="s">
        <v>111</v>
      </c>
      <c r="B9" s="40">
        <f>cliffgila!C29</f>
        <v>1.854166666666667</v>
      </c>
      <c r="C9" s="40"/>
      <c r="H9" s="70"/>
    </row>
    <row r="10" spans="1:8" ht="12.75">
      <c r="A10" s="69" t="s">
        <v>112</v>
      </c>
      <c r="B10" s="40">
        <f>redrock!C28</f>
        <v>2.167500000000001</v>
      </c>
      <c r="C10" s="40"/>
      <c r="H10" s="70"/>
    </row>
    <row r="11" spans="1:3" ht="12.75">
      <c r="A11" s="69" t="s">
        <v>132</v>
      </c>
      <c r="B11" s="40">
        <f>virden!C28</f>
        <v>2.2608333333333337</v>
      </c>
      <c r="C11" s="40"/>
    </row>
    <row r="12" spans="1:3" ht="12.75">
      <c r="A12" s="69" t="s">
        <v>133</v>
      </c>
      <c r="B12" s="40">
        <f>sansimon!C28</f>
        <v>2.04</v>
      </c>
      <c r="C12" s="40"/>
    </row>
    <row r="14" spans="1:8" ht="15.75">
      <c r="A14" s="273" t="s">
        <v>413</v>
      </c>
      <c r="B14" s="273"/>
      <c r="C14" s="273"/>
      <c r="D14" s="273"/>
      <c r="E14" s="273"/>
      <c r="F14" s="273"/>
      <c r="G14" s="273"/>
      <c r="H14" s="273"/>
    </row>
    <row r="15" ht="12.75">
      <c r="D15"/>
    </row>
    <row r="16" spans="1:9" ht="38.25">
      <c r="A16" s="63"/>
      <c r="B16" s="63" t="s">
        <v>134</v>
      </c>
      <c r="C16" s="68" t="s">
        <v>42</v>
      </c>
      <c r="D16" s="68" t="s">
        <v>278</v>
      </c>
      <c r="E16" s="63" t="s">
        <v>166</v>
      </c>
      <c r="F16" s="68" t="s">
        <v>135</v>
      </c>
      <c r="G16" s="63" t="s">
        <v>136</v>
      </c>
      <c r="H16" s="68" t="s">
        <v>137</v>
      </c>
      <c r="I16" s="63"/>
    </row>
    <row r="17" spans="1:9" ht="12.75">
      <c r="A17" s="65" t="s">
        <v>16</v>
      </c>
      <c r="B17" s="81">
        <f>'stock-dom-com-ind-evap'!B6</f>
        <v>26000</v>
      </c>
      <c r="C17" s="81">
        <f>B17*0.06</f>
        <v>1560</v>
      </c>
      <c r="D17" s="81">
        <f>B17*0.07</f>
        <v>1820.0000000000002</v>
      </c>
      <c r="E17" s="81">
        <f>'stock-dom-com-ind-evap'!B5</f>
        <v>26000</v>
      </c>
      <c r="F17" s="81">
        <f>E17*0.53</f>
        <v>13780</v>
      </c>
      <c r="G17" s="81">
        <f>'stock-dom-com-ind-evap'!B4</f>
        <v>25500</v>
      </c>
      <c r="H17" s="81">
        <f>G17*0.41</f>
        <v>10455</v>
      </c>
      <c r="I17" s="65"/>
    </row>
    <row r="18" spans="1:9" ht="12.75">
      <c r="A18" s="65" t="s">
        <v>17</v>
      </c>
      <c r="B18" s="81">
        <f>'stock-dom-com-ind-evap'!C6</f>
        <v>209</v>
      </c>
      <c r="C18" s="81">
        <f>B18*0.06</f>
        <v>12.54</v>
      </c>
      <c r="D18" s="81">
        <f>B18*0.07</f>
        <v>14.63</v>
      </c>
      <c r="E18" s="81">
        <f>'stock-dom-com-ind-evap'!C5</f>
        <v>48</v>
      </c>
      <c r="F18" s="81">
        <f>E18*0.53</f>
        <v>25.44</v>
      </c>
      <c r="G18" s="81">
        <f>'stock-dom-com-ind-evap'!C4</f>
        <v>72</v>
      </c>
      <c r="H18" s="81">
        <f>G18*0.41</f>
        <v>29.52</v>
      </c>
      <c r="I18" s="65"/>
    </row>
    <row r="19" ht="12.75">
      <c r="D19"/>
    </row>
    <row r="20" spans="1:9" ht="12.75">
      <c r="A20" s="250"/>
      <c r="B20" s="250"/>
      <c r="C20" s="250"/>
      <c r="D20" s="250"/>
      <c r="E20" s="250"/>
      <c r="F20" s="250"/>
      <c r="G20" s="250"/>
      <c r="H20" s="250"/>
      <c r="I20" s="250"/>
    </row>
    <row r="21" spans="2:9" ht="12.75">
      <c r="B21" s="57"/>
      <c r="C21" s="57"/>
      <c r="D21" s="57"/>
      <c r="E21" s="57"/>
      <c r="F21" s="57"/>
      <c r="G21" s="57"/>
      <c r="H21" s="57"/>
      <c r="I21" s="57"/>
    </row>
    <row r="23" spans="1:8" ht="15.75">
      <c r="A23" s="273" t="s">
        <v>414</v>
      </c>
      <c r="B23" s="274"/>
      <c r="C23" s="274"/>
      <c r="D23" s="274"/>
      <c r="E23" s="274"/>
      <c r="F23" s="274"/>
      <c r="G23" s="274"/>
      <c r="H23" s="274"/>
    </row>
    <row r="25" spans="1:10" s="94" customFormat="1" ht="12.75">
      <c r="A25" s="188" t="s">
        <v>80</v>
      </c>
      <c r="B25" s="34" t="s">
        <v>289</v>
      </c>
      <c r="D25" s="95"/>
      <c r="J25" s="95"/>
    </row>
    <row r="26" spans="1:2" ht="12.75">
      <c r="A26" s="94" t="s">
        <v>44</v>
      </c>
      <c r="B26" s="155">
        <v>235</v>
      </c>
    </row>
    <row r="27" spans="1:2" ht="12.75">
      <c r="A27" s="94" t="s">
        <v>42</v>
      </c>
      <c r="B27" s="155">
        <v>464</v>
      </c>
    </row>
    <row r="28" spans="1:2" ht="12.75">
      <c r="A28" s="228" t="s">
        <v>295</v>
      </c>
      <c r="B28" s="155">
        <v>3475</v>
      </c>
    </row>
    <row r="29" spans="1:2" ht="12.75">
      <c r="A29" s="94" t="s">
        <v>18</v>
      </c>
      <c r="B29" s="155">
        <v>1649</v>
      </c>
    </row>
    <row r="31" spans="1:8" ht="15.75">
      <c r="A31" s="273" t="s">
        <v>415</v>
      </c>
      <c r="B31" s="273"/>
      <c r="C31" s="273"/>
      <c r="D31" s="273"/>
      <c r="E31" s="273"/>
      <c r="F31" s="273"/>
      <c r="G31" s="275"/>
      <c r="H31" s="275"/>
    </row>
    <row r="32" spans="1:4" ht="12.75">
      <c r="A32" t="s">
        <v>264</v>
      </c>
      <c r="D32"/>
    </row>
    <row r="33" spans="1:6" ht="63.75">
      <c r="A33" s="68" t="s">
        <v>80</v>
      </c>
      <c r="B33" s="63" t="s">
        <v>291</v>
      </c>
      <c r="C33" s="63" t="s">
        <v>290</v>
      </c>
      <c r="D33" s="63" t="s">
        <v>292</v>
      </c>
      <c r="E33" s="63" t="s">
        <v>138</v>
      </c>
      <c r="F33" s="63"/>
    </row>
    <row r="34" spans="1:6" ht="12.75">
      <c r="A34" s="181" t="s">
        <v>258</v>
      </c>
      <c r="B34" s="63"/>
      <c r="C34" s="63"/>
      <c r="D34" s="63"/>
      <c r="E34" s="63"/>
      <c r="F34" s="63"/>
    </row>
    <row r="35" spans="1:5" ht="12.75">
      <c r="A35" s="272" t="s">
        <v>103</v>
      </c>
      <c r="B35" s="208">
        <f>'stock-dom-com-ind-evap'!D103</f>
        <v>2.494166666666666</v>
      </c>
      <c r="C35" s="183">
        <v>0.31</v>
      </c>
      <c r="D35" s="208">
        <f aca="true" t="shared" si="0" ref="D35:D43">C35*B35</f>
        <v>0.7731916666666665</v>
      </c>
      <c r="E35" s="81">
        <v>30</v>
      </c>
    </row>
    <row r="36" spans="1:5" ht="12.75">
      <c r="A36" s="272" t="s">
        <v>104</v>
      </c>
      <c r="B36" s="208">
        <f>'stock-dom-com-ind-evap'!D104</f>
        <v>2.8925000000000005</v>
      </c>
      <c r="C36" s="183">
        <v>0.31</v>
      </c>
      <c r="D36" s="208">
        <f t="shared" si="0"/>
        <v>0.8966750000000001</v>
      </c>
      <c r="E36" s="81">
        <v>11</v>
      </c>
    </row>
    <row r="37" spans="1:5" ht="12.75">
      <c r="A37" s="272" t="s">
        <v>105</v>
      </c>
      <c r="B37" s="208">
        <f>'stock-dom-com-ind-evap'!D105</f>
        <v>3.6649999999999996</v>
      </c>
      <c r="C37" s="183">
        <v>0.31</v>
      </c>
      <c r="D37" s="208">
        <f t="shared" si="0"/>
        <v>1.1361499999999998</v>
      </c>
      <c r="E37" s="81">
        <v>17</v>
      </c>
    </row>
    <row r="38" spans="1:5" ht="12.75">
      <c r="A38" s="272" t="s">
        <v>259</v>
      </c>
      <c r="B38" s="208">
        <f>'stock-dom-com-ind-evap'!D106</f>
        <v>4.570833333333334</v>
      </c>
      <c r="C38" s="183">
        <v>0.31</v>
      </c>
      <c r="D38" s="208">
        <f t="shared" si="0"/>
        <v>1.4169583333333335</v>
      </c>
      <c r="E38" s="81">
        <v>167</v>
      </c>
    </row>
    <row r="39" spans="1:5" ht="12.75">
      <c r="A39" s="272" t="s">
        <v>110</v>
      </c>
      <c r="B39" s="208">
        <f>'stock-dom-com-ind-evap'!D107</f>
        <v>2.946666666666666</v>
      </c>
      <c r="C39" s="183">
        <v>0.3</v>
      </c>
      <c r="D39" s="208">
        <f t="shared" si="0"/>
        <v>0.8839999999999998</v>
      </c>
      <c r="E39" s="81">
        <v>113</v>
      </c>
    </row>
    <row r="40" spans="1:5" ht="12.75">
      <c r="A40" s="272" t="s">
        <v>296</v>
      </c>
      <c r="B40" s="208">
        <f>'stock-dom-com-ind-evap'!D131</f>
        <v>4.754166666666667</v>
      </c>
      <c r="C40" s="183">
        <v>0.3</v>
      </c>
      <c r="D40" s="208">
        <f t="shared" si="0"/>
        <v>1.4262500000000002</v>
      </c>
      <c r="E40" s="81">
        <v>750</v>
      </c>
    </row>
    <row r="41" spans="1:5" ht="12.75">
      <c r="A41" s="272" t="s">
        <v>132</v>
      </c>
      <c r="B41" s="208">
        <f>'stock-dom-com-ind-evap'!D110</f>
        <v>4.798333333333335</v>
      </c>
      <c r="C41" s="183">
        <v>0.3</v>
      </c>
      <c r="D41" s="208">
        <f t="shared" si="0"/>
        <v>1.4395000000000004</v>
      </c>
      <c r="E41" s="81">
        <v>22</v>
      </c>
    </row>
    <row r="42" spans="1:5" ht="12.75">
      <c r="A42" s="182" t="s">
        <v>133</v>
      </c>
      <c r="B42" s="208">
        <f>'stock-dom-com-ind-evap'!D111</f>
        <v>5.7541666666666655</v>
      </c>
      <c r="C42" s="183">
        <v>0.26</v>
      </c>
      <c r="D42" s="208">
        <f t="shared" si="0"/>
        <v>1.496083333333333</v>
      </c>
      <c r="E42" s="81">
        <v>96</v>
      </c>
    </row>
    <row r="43" spans="1:6" ht="15">
      <c r="A43" s="182" t="s">
        <v>165</v>
      </c>
      <c r="B43" s="208">
        <f>'stock-dom-com-ind-evap'!D123</f>
        <v>2.946666666666666</v>
      </c>
      <c r="C43" s="183">
        <v>0.1</v>
      </c>
      <c r="D43" s="208">
        <f t="shared" si="0"/>
        <v>0.2946666666666666</v>
      </c>
      <c r="E43" s="81">
        <v>1076</v>
      </c>
      <c r="F43" s="66"/>
    </row>
    <row r="44" ht="12.75">
      <c r="D44"/>
    </row>
    <row r="45" spans="3:5" ht="12.75">
      <c r="C45" s="194"/>
      <c r="D45" s="194"/>
      <c r="E45" s="194"/>
    </row>
    <row r="46" spans="3:5" ht="12.75">
      <c r="C46" s="58"/>
      <c r="D46" s="58"/>
      <c r="E46" s="58"/>
    </row>
    <row r="47" ht="12.75">
      <c r="D47"/>
    </row>
    <row r="48" ht="12.75">
      <c r="D48"/>
    </row>
    <row r="49" ht="12.75">
      <c r="D49"/>
    </row>
    <row r="50" ht="12.75">
      <c r="D50"/>
    </row>
    <row r="51" ht="12.75">
      <c r="D51"/>
    </row>
    <row r="52" ht="12.75">
      <c r="D52"/>
    </row>
  </sheetData>
  <sheetProtection password="CC93" sheet="1" objects="1" scenarios="1"/>
  <printOptions gridLines="1" horizontalCentered="1"/>
  <pageMargins left="0.75" right="0.25" top="0.75" bottom="0.75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="92" zoomScaleNormal="92" zoomScaleSheetLayoutView="75" zoomScalePageLayoutView="0" workbookViewId="0" topLeftCell="A1">
      <selection activeCell="I1" sqref="I1"/>
    </sheetView>
  </sheetViews>
  <sheetFormatPr defaultColWidth="9.140625" defaultRowHeight="12.75"/>
  <cols>
    <col min="1" max="1" width="36.00390625" style="0" customWidth="1"/>
    <col min="2" max="4" width="9.421875" style="0" bestFit="1" customWidth="1"/>
    <col min="5" max="5" width="2.140625" style="0" bestFit="1" customWidth="1"/>
    <col min="10" max="10" width="3.140625" style="0" customWidth="1"/>
  </cols>
  <sheetData>
    <row r="1" spans="1:5" ht="14.25" customHeight="1">
      <c r="A1" s="314"/>
      <c r="B1" s="104"/>
      <c r="C1" s="70"/>
      <c r="D1" s="65"/>
      <c r="E1" s="67"/>
    </row>
    <row r="2" spans="1:5" ht="14.25" customHeight="1">
      <c r="A2" s="314"/>
      <c r="B2" s="104"/>
      <c r="C2" s="70"/>
      <c r="D2" s="65"/>
      <c r="E2" s="67"/>
    </row>
    <row r="3" spans="1:5" ht="14.25" customHeight="1">
      <c r="A3" s="314"/>
      <c r="B3" s="104"/>
      <c r="C3" s="70"/>
      <c r="D3" s="65"/>
      <c r="E3" s="67"/>
    </row>
    <row r="4" spans="1:5" ht="14.25" customHeight="1">
      <c r="A4" s="314"/>
      <c r="B4" s="104"/>
      <c r="C4" s="70"/>
      <c r="D4" s="65"/>
      <c r="E4" s="67"/>
    </row>
    <row r="5" spans="1:5" ht="14.25" customHeight="1">
      <c r="A5" s="378" t="s">
        <v>392</v>
      </c>
      <c r="B5" s="378"/>
      <c r="C5" s="378"/>
      <c r="D5" s="378"/>
      <c r="E5" s="67"/>
    </row>
    <row r="6" spans="1:5" ht="14.25" customHeight="1">
      <c r="A6" s="378"/>
      <c r="B6" s="378"/>
      <c r="C6" s="378"/>
      <c r="D6" s="378"/>
      <c r="E6" s="67"/>
    </row>
    <row r="7" spans="1:5" ht="14.25" customHeight="1">
      <c r="A7" s="378" t="s">
        <v>393</v>
      </c>
      <c r="B7" s="378"/>
      <c r="C7" s="378"/>
      <c r="D7" s="378"/>
      <c r="E7" s="67"/>
    </row>
    <row r="8" spans="1:4" ht="12.75" customHeight="1">
      <c r="A8" s="378"/>
      <c r="B8" s="378"/>
      <c r="C8" s="378"/>
      <c r="D8" s="378"/>
    </row>
    <row r="9" spans="1:7" ht="12.75">
      <c r="A9" s="315"/>
      <c r="B9" s="313"/>
      <c r="C9" s="313"/>
      <c r="D9" s="313"/>
      <c r="E9" s="58"/>
      <c r="F9" s="58"/>
      <c r="G9" s="58"/>
    </row>
    <row r="10" spans="1:7" ht="38.25">
      <c r="A10" s="315"/>
      <c r="B10" s="186" t="s">
        <v>354</v>
      </c>
      <c r="D10" s="186"/>
      <c r="E10" s="103"/>
      <c r="F10" s="103"/>
      <c r="G10" s="103"/>
    </row>
    <row r="11" spans="1:14" ht="12.75">
      <c r="A11" s="184"/>
      <c r="B11" s="377" t="s">
        <v>139</v>
      </c>
      <c r="C11" s="377"/>
      <c r="D11" s="312"/>
      <c r="E11" s="103"/>
      <c r="F11" s="103"/>
      <c r="G11" s="103"/>
      <c r="L11" s="301"/>
      <c r="M11" s="301"/>
      <c r="N11" s="301"/>
    </row>
    <row r="12" spans="1:14" ht="15">
      <c r="A12" s="95" t="s">
        <v>381</v>
      </c>
      <c r="B12" s="310">
        <v>661.96</v>
      </c>
      <c r="C12" s="310"/>
      <c r="D12" s="40"/>
      <c r="E12" s="67">
        <v>1</v>
      </c>
      <c r="L12" s="301"/>
      <c r="M12" s="301"/>
      <c r="N12" s="301"/>
    </row>
    <row r="13" spans="1:14" ht="15">
      <c r="A13" s="57" t="s">
        <v>382</v>
      </c>
      <c r="B13" s="310">
        <v>246.88</v>
      </c>
      <c r="C13" s="310"/>
      <c r="D13" s="40"/>
      <c r="E13" s="67">
        <v>1</v>
      </c>
      <c r="L13" s="301"/>
      <c r="M13" s="301"/>
      <c r="N13" s="301"/>
    </row>
    <row r="14" spans="1:14" ht="15">
      <c r="A14" s="192" t="s">
        <v>384</v>
      </c>
      <c r="B14" s="310">
        <v>479.34</v>
      </c>
      <c r="C14" s="310"/>
      <c r="D14" s="40"/>
      <c r="E14" s="67">
        <v>1</v>
      </c>
      <c r="L14" s="301"/>
      <c r="M14" s="301"/>
      <c r="N14" s="301"/>
    </row>
    <row r="15" spans="1:14" ht="15">
      <c r="A15" s="192" t="s">
        <v>388</v>
      </c>
      <c r="B15" s="310">
        <v>53.86</v>
      </c>
      <c r="C15" s="310"/>
      <c r="D15" s="311"/>
      <c r="E15" s="67">
        <v>1</v>
      </c>
      <c r="L15" s="301"/>
      <c r="M15" s="301"/>
      <c r="N15" s="301"/>
    </row>
    <row r="16" spans="1:14" ht="15">
      <c r="A16" s="192" t="s">
        <v>385</v>
      </c>
      <c r="B16" s="310">
        <v>3000.12</v>
      </c>
      <c r="C16" s="310"/>
      <c r="D16" s="311"/>
      <c r="E16" s="67">
        <v>1</v>
      </c>
      <c r="L16" s="301"/>
      <c r="M16" s="301"/>
      <c r="N16" s="301"/>
    </row>
    <row r="17" spans="1:14" ht="15">
      <c r="A17" s="192" t="s">
        <v>386</v>
      </c>
      <c r="B17" s="310">
        <v>1665.48</v>
      </c>
      <c r="C17" s="310"/>
      <c r="D17" s="311"/>
      <c r="E17" s="67">
        <v>1</v>
      </c>
      <c r="L17" s="301"/>
      <c r="M17" s="301"/>
      <c r="N17" s="301"/>
    </row>
    <row r="18" spans="1:14" ht="15">
      <c r="A18" s="192" t="s">
        <v>387</v>
      </c>
      <c r="B18" s="310">
        <v>8.52</v>
      </c>
      <c r="C18" s="310"/>
      <c r="D18" s="311"/>
      <c r="E18" s="67">
        <v>1</v>
      </c>
      <c r="L18" s="301"/>
      <c r="M18" s="301"/>
      <c r="N18" s="301"/>
    </row>
    <row r="19" spans="1:14" ht="15">
      <c r="A19" t="s">
        <v>383</v>
      </c>
      <c r="B19" s="310">
        <v>456.82</v>
      </c>
      <c r="C19" s="310"/>
      <c r="D19" s="40"/>
      <c r="E19" s="67">
        <v>1</v>
      </c>
      <c r="L19" s="301"/>
      <c r="M19" s="301"/>
      <c r="N19" s="301"/>
    </row>
    <row r="20" spans="4:14" ht="15">
      <c r="D20" s="40"/>
      <c r="E20" s="67"/>
      <c r="L20" s="301"/>
      <c r="M20" s="301"/>
      <c r="N20" s="301"/>
    </row>
    <row r="21" spans="1:5" ht="15">
      <c r="A21" s="34" t="s">
        <v>261</v>
      </c>
      <c r="B21" s="70">
        <f>B12+B13+B14+B16+B18</f>
        <v>4396.820000000001</v>
      </c>
      <c r="C21" s="70"/>
      <c r="D21" s="40"/>
      <c r="E21" s="67"/>
    </row>
    <row r="22" spans="1:5" ht="15">
      <c r="A22" s="34" t="s">
        <v>260</v>
      </c>
      <c r="B22" s="70">
        <f>B12+B13+B14+B15+B17+B18-B19</f>
        <v>2659.22</v>
      </c>
      <c r="C22" s="70"/>
      <c r="D22" s="40"/>
      <c r="E22" s="67"/>
    </row>
    <row r="23" ht="15">
      <c r="E23" s="67"/>
    </row>
    <row r="24" ht="15">
      <c r="A24" s="185" t="s">
        <v>361</v>
      </c>
    </row>
    <row r="25" ht="15">
      <c r="A25" s="185" t="s">
        <v>389</v>
      </c>
    </row>
  </sheetData>
  <sheetProtection password="CC93" sheet="1" objects="1" scenarios="1"/>
  <mergeCells count="3">
    <mergeCell ref="B11:C11"/>
    <mergeCell ref="A5:D6"/>
    <mergeCell ref="A7:D8"/>
  </mergeCells>
  <printOptions gridLines="1" horizontalCentered="1"/>
  <pageMargins left="0.75" right="0.25" top="0.75" bottom="0.75" header="0.5" footer="0.5"/>
  <pageSetup fitToHeight="1" fitToWidth="1" horizontalDpi="600" verticalDpi="600" orientation="portrait" r:id="rId1"/>
  <headerFooter alignWithMargins="0">
    <oddHeader>&amp;L&amp;D</oddHeader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77"/>
  <sheetViews>
    <sheetView zoomScale="75" zoomScaleNormal="75" zoomScaleSheetLayoutView="75" zoomScalePageLayoutView="0" workbookViewId="0" topLeftCell="A1">
      <selection activeCell="I1" sqref="I1"/>
    </sheetView>
  </sheetViews>
  <sheetFormatPr defaultColWidth="9.140625" defaultRowHeight="12.75"/>
  <cols>
    <col min="1" max="1" width="18.140625" style="0" customWidth="1"/>
    <col min="2" max="2" width="11.421875" style="0" bestFit="1" customWidth="1"/>
    <col min="3" max="3" width="11.00390625" style="0" customWidth="1"/>
    <col min="4" max="4" width="11.8515625" style="0" bestFit="1" customWidth="1"/>
    <col min="5" max="5" width="12.140625" style="0" bestFit="1" customWidth="1"/>
    <col min="6" max="6" width="10.57421875" style="0" customWidth="1"/>
    <col min="7" max="7" width="11.57421875" style="0" bestFit="1" customWidth="1"/>
    <col min="8" max="8" width="12.140625" style="0" customWidth="1"/>
    <col min="9" max="9" width="11.421875" style="0" customWidth="1"/>
    <col min="10" max="10" width="10.8515625" style="0" bestFit="1" customWidth="1"/>
    <col min="11" max="11" width="8.140625" style="0" customWidth="1"/>
    <col min="12" max="12" width="12.421875" style="0" customWidth="1"/>
    <col min="13" max="13" width="11.7109375" style="0" customWidth="1"/>
  </cols>
  <sheetData>
    <row r="1" spans="1:6" ht="15.75">
      <c r="A1" s="180" t="s">
        <v>262</v>
      </c>
      <c r="B1" s="58"/>
      <c r="C1" s="58"/>
      <c r="D1" s="58"/>
      <c r="E1" s="58"/>
      <c r="F1" s="58"/>
    </row>
    <row r="2" spans="1:6" ht="18">
      <c r="A2" s="71" t="s">
        <v>264</v>
      </c>
      <c r="B2" s="39"/>
      <c r="C2" s="39"/>
      <c r="D2" s="72"/>
      <c r="E2" s="72"/>
      <c r="F2" s="1"/>
    </row>
    <row r="3" spans="1:6" ht="15.75">
      <c r="A3" s="39"/>
      <c r="B3" s="39"/>
      <c r="C3" s="379" t="s">
        <v>139</v>
      </c>
      <c r="D3" s="379"/>
      <c r="E3" s="379"/>
      <c r="F3" s="379"/>
    </row>
    <row r="4" spans="1:6" s="94" customFormat="1" ht="15.75">
      <c r="A4" s="73"/>
      <c r="B4" s="160"/>
      <c r="C4" s="160" t="s">
        <v>140</v>
      </c>
      <c r="D4" s="160" t="s">
        <v>141</v>
      </c>
      <c r="E4" s="160" t="s">
        <v>142</v>
      </c>
      <c r="F4" s="160" t="s">
        <v>73</v>
      </c>
    </row>
    <row r="5" spans="1:6" s="94" customFormat="1" ht="15.75">
      <c r="A5" s="73"/>
      <c r="B5" s="160" t="s">
        <v>143</v>
      </c>
      <c r="C5" s="160" t="s">
        <v>144</v>
      </c>
      <c r="D5" s="160" t="s">
        <v>144</v>
      </c>
      <c r="E5" s="160" t="s">
        <v>145</v>
      </c>
      <c r="F5" s="160"/>
    </row>
    <row r="6" spans="1:6" s="94" customFormat="1" ht="12.75">
      <c r="A6" s="160" t="s">
        <v>80</v>
      </c>
      <c r="B6" s="160" t="s">
        <v>146</v>
      </c>
      <c r="C6" s="160" t="s">
        <v>147</v>
      </c>
      <c r="D6" s="160" t="s">
        <v>179</v>
      </c>
      <c r="E6" s="160" t="s">
        <v>147</v>
      </c>
      <c r="F6" s="160"/>
    </row>
    <row r="7" spans="1:6" ht="15.75">
      <c r="A7" s="39"/>
      <c r="B7" s="39"/>
      <c r="C7" s="39"/>
      <c r="D7" s="39"/>
      <c r="E7" s="73"/>
      <c r="F7" s="39"/>
    </row>
    <row r="8" spans="1:6" ht="15" customHeight="1">
      <c r="A8" s="105" t="s">
        <v>59</v>
      </c>
      <c r="B8" s="74" t="s">
        <v>148</v>
      </c>
      <c r="C8" s="77">
        <f>luna!E24+luna!K24+luna!Q24+luna!W24+luna!AC24+luna!AI24</f>
        <v>1210.149038893241</v>
      </c>
      <c r="D8" s="77"/>
      <c r="E8" s="77"/>
      <c r="F8" s="77">
        <f>SUM(C8:E8)</f>
        <v>1210.149038893241</v>
      </c>
    </row>
    <row r="9" spans="1:6" ht="15" customHeight="1">
      <c r="A9" s="39"/>
      <c r="B9" s="74" t="s">
        <v>149</v>
      </c>
      <c r="C9" s="77"/>
      <c r="D9" s="77"/>
      <c r="E9" s="77">
        <f>'stock-dom-com-ind-evap'!C57</f>
        <v>4.5165</v>
      </c>
      <c r="F9" s="77">
        <f>SUM(C9:E9)</f>
        <v>4.5165</v>
      </c>
    </row>
    <row r="10" spans="1:6" ht="15" customHeight="1">
      <c r="A10" s="39"/>
      <c r="B10" s="74" t="s">
        <v>141</v>
      </c>
      <c r="C10" s="77"/>
      <c r="D10" s="77">
        <f>M65</f>
        <v>206.7676823354808</v>
      </c>
      <c r="E10" s="77"/>
      <c r="F10" s="77">
        <f>SUM(C10:E10)</f>
        <v>206.7676823354808</v>
      </c>
    </row>
    <row r="11" spans="1:6" ht="15" customHeight="1">
      <c r="A11" s="39"/>
      <c r="B11" s="74" t="s">
        <v>73</v>
      </c>
      <c r="C11" s="77"/>
      <c r="D11" s="77"/>
      <c r="E11" s="77"/>
      <c r="F11" s="77">
        <f>SUM(F8:F10)</f>
        <v>1421.4332212287218</v>
      </c>
    </row>
    <row r="12" spans="1:6" ht="15" customHeight="1">
      <c r="A12" s="106" t="s">
        <v>365</v>
      </c>
      <c r="B12" s="74"/>
      <c r="C12" s="77"/>
      <c r="D12" s="77"/>
      <c r="E12" s="77"/>
      <c r="F12" s="78"/>
    </row>
    <row r="13" spans="1:6" ht="15" customHeight="1">
      <c r="A13" s="105" t="s">
        <v>67</v>
      </c>
      <c r="B13" s="74" t="s">
        <v>148</v>
      </c>
      <c r="C13" s="77">
        <f>apachearagon!E24</f>
        <v>119.7479580329394</v>
      </c>
      <c r="D13" s="77"/>
      <c r="E13" s="77"/>
      <c r="F13" s="77">
        <f>SUM(C13:E13)</f>
        <v>119.7479580329394</v>
      </c>
    </row>
    <row r="14" spans="1:6" ht="15" customHeight="1">
      <c r="A14" s="39"/>
      <c r="B14" s="74" t="s">
        <v>149</v>
      </c>
      <c r="C14" s="77"/>
      <c r="D14" s="77"/>
      <c r="E14" s="77">
        <f>'stock-dom-com-ind-evap'!C58</f>
        <v>27.7062</v>
      </c>
      <c r="F14" s="77">
        <f>SUM(C14:E14)</f>
        <v>27.7062</v>
      </c>
    </row>
    <row r="15" spans="1:6" ht="15" customHeight="1">
      <c r="A15" s="39"/>
      <c r="B15" s="74" t="s">
        <v>141</v>
      </c>
      <c r="C15" s="77"/>
      <c r="D15" s="77">
        <f>M66</f>
        <v>393.4222222222222</v>
      </c>
      <c r="E15" s="77"/>
      <c r="F15" s="77">
        <f>SUM(C15:E15)</f>
        <v>393.4222222222222</v>
      </c>
    </row>
    <row r="16" spans="1:6" ht="15" customHeight="1">
      <c r="A16" s="39"/>
      <c r="B16" s="74" t="s">
        <v>73</v>
      </c>
      <c r="C16" s="77"/>
      <c r="D16" s="77"/>
      <c r="E16" s="77"/>
      <c r="F16" s="77">
        <f>SUM(F13:F15)</f>
        <v>540.8763802551616</v>
      </c>
    </row>
    <row r="17" spans="1:6" ht="15" customHeight="1">
      <c r="A17" s="106" t="s">
        <v>366</v>
      </c>
      <c r="B17" s="74"/>
      <c r="C17" s="77"/>
      <c r="D17" s="77"/>
      <c r="E17" s="77"/>
      <c r="F17" s="78"/>
    </row>
    <row r="18" spans="1:6" ht="15" customHeight="1">
      <c r="A18" s="105" t="s">
        <v>61</v>
      </c>
      <c r="B18" s="74" t="s">
        <v>148</v>
      </c>
      <c r="C18" s="77">
        <f>reserve!E24+reserve!K24+reserve!Q24+reserve!W24+reserve!AC24+reserve!AI24+reserve!AO24</f>
        <v>4945.86661559459</v>
      </c>
      <c r="D18" s="77"/>
      <c r="E18" s="77"/>
      <c r="F18" s="77">
        <f>SUM(C18:E18)</f>
        <v>4945.86661559459</v>
      </c>
    </row>
    <row r="19" spans="1:6" ht="15" customHeight="1">
      <c r="A19" s="39"/>
      <c r="B19" s="74" t="s">
        <v>149</v>
      </c>
      <c r="C19" s="77"/>
      <c r="D19" s="77"/>
      <c r="E19" s="77">
        <f>'stock-dom-com-ind-evap'!C59</f>
        <v>143.5033</v>
      </c>
      <c r="F19" s="77">
        <f>SUM(C19:E19)</f>
        <v>143.5033</v>
      </c>
    </row>
    <row r="20" spans="1:6" ht="15" customHeight="1">
      <c r="A20" s="39"/>
      <c r="B20" s="74" t="s">
        <v>141</v>
      </c>
      <c r="C20" s="77"/>
      <c r="D20" s="77">
        <f>M67</f>
        <v>521.8467952651347</v>
      </c>
      <c r="E20" s="77"/>
      <c r="F20" s="77">
        <f>SUM(C20:E20)</f>
        <v>521.8467952651347</v>
      </c>
    </row>
    <row r="21" spans="1:6" ht="15" customHeight="1">
      <c r="A21" s="39"/>
      <c r="B21" s="74" t="s">
        <v>73</v>
      </c>
      <c r="C21" s="77"/>
      <c r="D21" s="77"/>
      <c r="E21" s="77"/>
      <c r="F21" s="77">
        <f>SUM(F18:F20)</f>
        <v>5611.216710859725</v>
      </c>
    </row>
    <row r="22" spans="1:6" ht="15" customHeight="1">
      <c r="A22" s="106" t="s">
        <v>367</v>
      </c>
      <c r="B22" s="74"/>
      <c r="C22" s="77"/>
      <c r="D22" s="77"/>
      <c r="E22" s="77"/>
      <c r="F22" s="78"/>
    </row>
    <row r="23" spans="1:6" ht="15" customHeight="1">
      <c r="A23" s="105" t="s">
        <v>62</v>
      </c>
      <c r="B23" s="74" t="s">
        <v>148</v>
      </c>
      <c r="C23" s="77">
        <f>+glenwood!K24+glenwood!Q24+glenwood!W24+glenwood!AC24+glenwood!AI24</f>
        <v>8209.032971521385</v>
      </c>
      <c r="D23" s="77"/>
      <c r="E23" s="77"/>
      <c r="F23" s="77">
        <f>SUM(C23:E23)</f>
        <v>8209.032971521385</v>
      </c>
    </row>
    <row r="24" spans="1:6" ht="15" customHeight="1">
      <c r="A24" s="39"/>
      <c r="B24" s="74" t="s">
        <v>149</v>
      </c>
      <c r="C24" s="77">
        <f>glenwood!AI32</f>
        <v>87.837</v>
      </c>
      <c r="D24" s="77"/>
      <c r="E24" s="77">
        <f>'stock-dom-com-ind-evap'!C60</f>
        <v>48.1131</v>
      </c>
      <c r="F24" s="77">
        <f>SUM(C24:E24)</f>
        <v>135.95010000000002</v>
      </c>
    </row>
    <row r="25" spans="1:6" ht="15" customHeight="1">
      <c r="A25" s="39"/>
      <c r="B25" s="74" t="s">
        <v>141</v>
      </c>
      <c r="C25" s="77"/>
      <c r="D25" s="77">
        <f>M68</f>
        <v>293.73048069928745</v>
      </c>
      <c r="E25" s="77"/>
      <c r="F25" s="77">
        <f>SUM(C25:E25)</f>
        <v>293.73048069928745</v>
      </c>
    </row>
    <row r="26" spans="1:6" ht="15" customHeight="1">
      <c r="A26" s="39"/>
      <c r="B26" s="74" t="s">
        <v>73</v>
      </c>
      <c r="C26" s="77"/>
      <c r="D26" s="77"/>
      <c r="E26" s="77"/>
      <c r="F26" s="77">
        <f>SUM(F23:F25)</f>
        <v>8638.713552220672</v>
      </c>
    </row>
    <row r="27" spans="1:6" ht="15" customHeight="1">
      <c r="A27" s="106" t="s">
        <v>368</v>
      </c>
      <c r="B27" s="74"/>
      <c r="C27" s="77"/>
      <c r="D27" s="77"/>
      <c r="E27" s="77"/>
      <c r="F27" s="77"/>
    </row>
    <row r="28" spans="1:6" ht="15" customHeight="1">
      <c r="A28" s="43" t="s">
        <v>150</v>
      </c>
      <c r="B28" s="75"/>
      <c r="C28" s="79"/>
      <c r="D28" s="79"/>
      <c r="E28" s="79"/>
      <c r="F28" s="79">
        <f>F26+F21+F16+F11</f>
        <v>16212.239864564282</v>
      </c>
    </row>
    <row r="29" spans="1:6" ht="15" customHeight="1">
      <c r="A29" s="39"/>
      <c r="B29" s="74"/>
      <c r="C29" s="77"/>
      <c r="D29" s="77"/>
      <c r="E29" s="77"/>
      <c r="F29" s="78"/>
    </row>
    <row r="30" spans="1:6" ht="15" customHeight="1">
      <c r="A30" s="105" t="s">
        <v>151</v>
      </c>
      <c r="B30" s="74" t="s">
        <v>148</v>
      </c>
      <c r="C30" s="77">
        <f>cliffgila!E24+cliffgila!K24+cliffgila!Q24+cliffgila!AC24+cliffgila!AI24+cliffgila!AO24</f>
        <v>22070.10281606333</v>
      </c>
      <c r="D30" s="77"/>
      <c r="E30" s="77"/>
      <c r="F30" s="77">
        <f>SUM(C30:E30)</f>
        <v>22070.10281606333</v>
      </c>
    </row>
    <row r="31" spans="1:6" ht="15" customHeight="1">
      <c r="A31" s="39"/>
      <c r="B31" s="74" t="s">
        <v>149</v>
      </c>
      <c r="C31" s="77">
        <f>cliffgila!V47</f>
        <v>186.42499999999995</v>
      </c>
      <c r="D31" s="77"/>
      <c r="E31" s="77">
        <f>'stock-dom-com-ind-evap'!C64</f>
        <v>5372.7753</v>
      </c>
      <c r="F31" s="77">
        <f>SUM(C31:E31)</f>
        <v>5559.2003</v>
      </c>
    </row>
    <row r="32" spans="1:6" ht="15" customHeight="1">
      <c r="A32" s="39"/>
      <c r="B32" s="74" t="s">
        <v>141</v>
      </c>
      <c r="C32" s="77"/>
      <c r="D32" s="77">
        <f>M69</f>
        <v>2132.1291374722846</v>
      </c>
      <c r="E32" s="77"/>
      <c r="F32" s="77">
        <f>SUM(C32:E32)</f>
        <v>2132.1291374722846</v>
      </c>
    </row>
    <row r="33" spans="1:6" ht="15" customHeight="1">
      <c r="A33" s="39"/>
      <c r="B33" s="74" t="s">
        <v>73</v>
      </c>
      <c r="C33" s="77"/>
      <c r="D33" s="77"/>
      <c r="E33" s="77"/>
      <c r="F33" s="77">
        <f>SUM(F30:F32)</f>
        <v>29761.432253535615</v>
      </c>
    </row>
    <row r="34" spans="1:6" ht="15" customHeight="1">
      <c r="A34" s="106" t="s">
        <v>369</v>
      </c>
      <c r="B34" s="74"/>
      <c r="C34" s="77"/>
      <c r="D34" s="77"/>
      <c r="E34" s="77"/>
      <c r="F34" s="78"/>
    </row>
    <row r="35" spans="1:6" ht="15" customHeight="1">
      <c r="A35" s="105" t="s">
        <v>63</v>
      </c>
      <c r="B35" s="74" t="s">
        <v>148</v>
      </c>
      <c r="C35" s="77">
        <f>uppergila!E24</f>
        <v>1065.1168081563853</v>
      </c>
      <c r="D35" s="77"/>
      <c r="E35" s="77"/>
      <c r="F35" s="77">
        <f>SUM(C35:E35)</f>
        <v>1065.1168081563853</v>
      </c>
    </row>
    <row r="36" spans="1:6" ht="15" customHeight="1">
      <c r="A36" s="39"/>
      <c r="B36" s="74" t="s">
        <v>149</v>
      </c>
      <c r="C36" s="77"/>
      <c r="D36" s="77"/>
      <c r="E36" s="77">
        <f>'stock-dom-com-ind-evap'!C63</f>
        <v>113.6432</v>
      </c>
      <c r="F36" s="77">
        <f>SUM(C36:E36)</f>
        <v>113.6432</v>
      </c>
    </row>
    <row r="37" spans="1:6" ht="15" customHeight="1">
      <c r="A37" s="39"/>
      <c r="B37" s="74" t="s">
        <v>141</v>
      </c>
      <c r="C37" s="77"/>
      <c r="D37" s="77">
        <f>M70</f>
        <v>161.3936883629191</v>
      </c>
      <c r="E37" s="77"/>
      <c r="F37" s="77">
        <f>SUM(C37:E37)</f>
        <v>161.3936883629191</v>
      </c>
    </row>
    <row r="38" spans="1:6" ht="15" customHeight="1">
      <c r="A38" s="39"/>
      <c r="B38" s="74" t="s">
        <v>73</v>
      </c>
      <c r="C38" s="77"/>
      <c r="D38" s="77"/>
      <c r="E38" s="77"/>
      <c r="F38" s="77">
        <f>SUM(F35:F37)</f>
        <v>1340.1536965193045</v>
      </c>
    </row>
    <row r="39" spans="1:6" ht="15" customHeight="1">
      <c r="A39" s="106" t="s">
        <v>370</v>
      </c>
      <c r="B39" s="74"/>
      <c r="C39" s="77"/>
      <c r="D39" s="77"/>
      <c r="E39" s="77"/>
      <c r="F39" s="78"/>
    </row>
    <row r="40" spans="1:6" ht="15" customHeight="1">
      <c r="A40" s="105" t="s">
        <v>65</v>
      </c>
      <c r="B40" s="74" t="s">
        <v>148</v>
      </c>
      <c r="C40" s="77">
        <f>redrock!E24</f>
        <v>1130.9107740614386</v>
      </c>
      <c r="D40" s="77"/>
      <c r="E40" s="77"/>
      <c r="F40" s="77">
        <f>SUM(C40:E40)</f>
        <v>1130.9107740614386</v>
      </c>
    </row>
    <row r="41" spans="1:6" ht="15" customHeight="1">
      <c r="A41" s="39"/>
      <c r="B41" s="74" t="s">
        <v>149</v>
      </c>
      <c r="C41" s="77">
        <f>redrock!W42</f>
        <v>0</v>
      </c>
      <c r="D41" s="77"/>
      <c r="E41" s="77">
        <f>'stock-dom-com-ind-evap'!C65</f>
        <v>10.2972</v>
      </c>
      <c r="F41" s="77">
        <f>SUM(C41:E41)</f>
        <v>10.2972</v>
      </c>
    </row>
    <row r="42" spans="1:6" ht="15" customHeight="1">
      <c r="A42" s="39"/>
      <c r="B42" s="74" t="s">
        <v>141</v>
      </c>
      <c r="C42" s="77"/>
      <c r="D42" s="77">
        <f>M71</f>
        <v>105.03130356244732</v>
      </c>
      <c r="E42" s="77"/>
      <c r="F42" s="77">
        <f>SUM(C42:E42)</f>
        <v>105.03130356244732</v>
      </c>
    </row>
    <row r="43" spans="1:6" ht="15" customHeight="1">
      <c r="A43" s="39"/>
      <c r="B43" s="74" t="s">
        <v>73</v>
      </c>
      <c r="C43" s="77"/>
      <c r="D43" s="77"/>
      <c r="E43" s="77"/>
      <c r="F43" s="77">
        <f>SUM(F40:F42)</f>
        <v>1246.239277623886</v>
      </c>
    </row>
    <row r="44" spans="1:6" ht="15" customHeight="1">
      <c r="A44" s="106" t="s">
        <v>356</v>
      </c>
      <c r="B44" s="74"/>
      <c r="C44" s="77"/>
      <c r="D44" s="77"/>
      <c r="E44" s="77"/>
      <c r="F44" s="77"/>
    </row>
    <row r="45" spans="1:6" ht="15" customHeight="1">
      <c r="A45" s="43" t="s">
        <v>152</v>
      </c>
      <c r="B45" s="75"/>
      <c r="C45" s="79"/>
      <c r="D45" s="79"/>
      <c r="E45" s="79"/>
      <c r="F45" s="79">
        <f>F43+F38+F33</f>
        <v>32347.825227678804</v>
      </c>
    </row>
    <row r="46" spans="1:6" ht="15" customHeight="1">
      <c r="A46" s="39"/>
      <c r="B46" s="74"/>
      <c r="C46" s="77"/>
      <c r="D46" s="77"/>
      <c r="E46" s="77"/>
      <c r="F46" s="78"/>
    </row>
    <row r="47" spans="1:6" ht="15" customHeight="1">
      <c r="A47" s="105" t="s">
        <v>42</v>
      </c>
      <c r="B47" s="74" t="s">
        <v>148</v>
      </c>
      <c r="C47" s="78"/>
      <c r="D47" s="78"/>
      <c r="E47" s="78"/>
      <c r="F47" s="77">
        <f>SUM(C47:E47)</f>
        <v>0</v>
      </c>
    </row>
    <row r="48" spans="1:6" ht="15" customHeight="1">
      <c r="A48" s="39"/>
      <c r="B48" s="74" t="s">
        <v>149</v>
      </c>
      <c r="C48" s="77">
        <f>virden!V42</f>
        <v>270.74</v>
      </c>
      <c r="D48" s="77"/>
      <c r="E48" s="77">
        <f>'stock-dom-com-ind-evap'!C70</f>
        <v>8.1769</v>
      </c>
      <c r="F48" s="77">
        <f>SUM(C48:E48)</f>
        <v>278.9169</v>
      </c>
    </row>
    <row r="49" spans="1:6" ht="15" customHeight="1">
      <c r="A49" s="39"/>
      <c r="B49" s="74" t="s">
        <v>141</v>
      </c>
      <c r="C49" s="77"/>
      <c r="D49" s="77">
        <f>M72-C48</f>
        <v>636.1008030303032</v>
      </c>
      <c r="E49" s="77"/>
      <c r="F49" s="77">
        <f>SUM(C49:E49)</f>
        <v>636.1008030303032</v>
      </c>
    </row>
    <row r="50" spans="1:6" ht="15" customHeight="1">
      <c r="A50" s="39"/>
      <c r="B50" s="74" t="s">
        <v>73</v>
      </c>
      <c r="C50" s="77"/>
      <c r="D50" s="77"/>
      <c r="E50" s="77"/>
      <c r="F50" s="77">
        <f>SUM(F47:F49)</f>
        <v>915.0177030303032</v>
      </c>
    </row>
    <row r="51" spans="1:6" ht="15" customHeight="1">
      <c r="A51" s="97" t="s">
        <v>375</v>
      </c>
      <c r="B51" s="74"/>
      <c r="C51" s="77"/>
      <c r="D51" s="77"/>
      <c r="E51" s="77"/>
      <c r="F51" s="77"/>
    </row>
    <row r="52" spans="1:6" ht="15" customHeight="1">
      <c r="A52" s="43" t="s">
        <v>153</v>
      </c>
      <c r="B52" s="75"/>
      <c r="C52" s="79"/>
      <c r="D52" s="79"/>
      <c r="E52" s="79"/>
      <c r="F52" s="79">
        <f>F50</f>
        <v>915.0177030303032</v>
      </c>
    </row>
    <row r="53" spans="2:6" ht="15" customHeight="1">
      <c r="B53" s="74"/>
      <c r="C53" s="77"/>
      <c r="D53" s="77"/>
      <c r="E53" s="77"/>
      <c r="F53" s="78"/>
    </row>
    <row r="54" spans="1:6" ht="15" customHeight="1">
      <c r="A54" s="105" t="s">
        <v>44</v>
      </c>
      <c r="B54" s="74" t="s">
        <v>148</v>
      </c>
      <c r="C54" s="78"/>
      <c r="D54" s="78"/>
      <c r="E54" s="78"/>
      <c r="F54" s="77">
        <f>SUM(C54:E54)</f>
        <v>0</v>
      </c>
    </row>
    <row r="55" spans="1:6" ht="15" customHeight="1">
      <c r="A55" s="39"/>
      <c r="B55" s="74" t="s">
        <v>149</v>
      </c>
      <c r="C55" s="77">
        <f>sansimon!V56</f>
        <v>226.84</v>
      </c>
      <c r="D55" s="77"/>
      <c r="E55" s="77">
        <f>'stock-dom-com-ind-evap'!C68</f>
        <v>24.9097</v>
      </c>
      <c r="F55" s="77">
        <f>SUM(C55:E55)</f>
        <v>251.74970000000002</v>
      </c>
    </row>
    <row r="56" spans="1:6" ht="15" customHeight="1">
      <c r="A56" s="39"/>
      <c r="B56" s="74" t="s">
        <v>141</v>
      </c>
      <c r="C56" s="77"/>
      <c r="D56" s="77"/>
      <c r="E56" s="77"/>
      <c r="F56" s="77">
        <f>SUM(C56:E56)</f>
        <v>0</v>
      </c>
    </row>
    <row r="57" spans="1:6" ht="15" customHeight="1">
      <c r="A57" s="39"/>
      <c r="B57" s="74" t="s">
        <v>73</v>
      </c>
      <c r="C57" s="78"/>
      <c r="D57" s="78"/>
      <c r="E57" s="78"/>
      <c r="F57" s="77">
        <f>SUM(F54:F56)</f>
        <v>251.74970000000002</v>
      </c>
    </row>
    <row r="58" spans="1:6" ht="15" customHeight="1">
      <c r="A58" s="43" t="s">
        <v>154</v>
      </c>
      <c r="B58" s="43"/>
      <c r="C58" s="80"/>
      <c r="D58" s="80"/>
      <c r="E58" s="80"/>
      <c r="F58" s="79">
        <f>F57</f>
        <v>251.74970000000002</v>
      </c>
    </row>
    <row r="59" spans="1:3" ht="12.75">
      <c r="A59" s="97" t="s">
        <v>371</v>
      </c>
      <c r="C59" s="81"/>
    </row>
    <row r="61" spans="1:12" ht="17.25">
      <c r="A61" s="380" t="s">
        <v>263</v>
      </c>
      <c r="B61" s="381"/>
      <c r="C61" s="381"/>
      <c r="D61" s="381"/>
      <c r="E61" s="381"/>
      <c r="F61" s="381"/>
      <c r="G61" s="381"/>
      <c r="H61" s="381"/>
      <c r="I61" s="381"/>
      <c r="J61" s="381"/>
      <c r="K61" s="381"/>
      <c r="L61" s="381"/>
    </row>
    <row r="62" spans="4:9" ht="15.75">
      <c r="D62" s="77"/>
      <c r="I62" s="1"/>
    </row>
    <row r="63" spans="1:13" s="94" customFormat="1" ht="78">
      <c r="A63" s="156" t="s">
        <v>188</v>
      </c>
      <c r="B63" s="156" t="s">
        <v>6</v>
      </c>
      <c r="C63" s="154" t="s">
        <v>229</v>
      </c>
      <c r="D63" s="157" t="s">
        <v>238</v>
      </c>
      <c r="E63" s="156" t="s">
        <v>239</v>
      </c>
      <c r="F63" s="156" t="s">
        <v>231</v>
      </c>
      <c r="G63" s="154" t="s">
        <v>190</v>
      </c>
      <c r="H63" s="156" t="s">
        <v>241</v>
      </c>
      <c r="I63" s="157" t="s">
        <v>240</v>
      </c>
      <c r="J63" s="156" t="s">
        <v>236</v>
      </c>
      <c r="K63" s="156" t="s">
        <v>232</v>
      </c>
      <c r="L63" s="156" t="s">
        <v>237</v>
      </c>
      <c r="M63" s="156" t="s">
        <v>235</v>
      </c>
    </row>
    <row r="64" spans="1:13" ht="15.75">
      <c r="A64" s="36"/>
      <c r="B64" s="36"/>
      <c r="C64" s="36"/>
      <c r="D64" s="118"/>
      <c r="E64" s="36"/>
      <c r="F64" s="36"/>
      <c r="G64" s="36"/>
      <c r="H64" s="36"/>
      <c r="I64" s="36"/>
      <c r="J64" s="36"/>
      <c r="K64" s="36"/>
      <c r="L64" s="36"/>
      <c r="M64" s="36"/>
    </row>
    <row r="65" spans="1:13" ht="15.75">
      <c r="A65" s="36" t="s">
        <v>59</v>
      </c>
      <c r="B65" s="37">
        <f>luna!C29</f>
        <v>0.9541666666666668</v>
      </c>
      <c r="C65" s="37">
        <f>luna!C24-luna!D24</f>
        <v>2.4941666666666666</v>
      </c>
      <c r="D65" s="49">
        <f>luna!M31</f>
        <v>22.23</v>
      </c>
      <c r="E65" s="37">
        <f>luna!M29</f>
        <v>29.35</v>
      </c>
      <c r="F65" s="158" t="str">
        <f>luna!D3</f>
        <v>0.30</v>
      </c>
      <c r="G65" s="37">
        <f>luna!J32</f>
        <v>0.2593598221919948</v>
      </c>
      <c r="H65" s="37">
        <f>((E65*B65/F65)+(D65*C65/F65))*(1-G65)</f>
        <v>206.02169748699595</v>
      </c>
      <c r="I65" s="37">
        <f>luna!P31</f>
        <v>0</v>
      </c>
      <c r="J65" s="37">
        <f>luna!P29</f>
        <v>0.43</v>
      </c>
      <c r="K65" s="36">
        <v>0.55</v>
      </c>
      <c r="L65" s="159">
        <f aca="true" t="shared" si="0" ref="L65:L72">((J65*B65)+(I65*C65))/K65</f>
        <v>0.7459848484848485</v>
      </c>
      <c r="M65" s="159">
        <f>L65+H65</f>
        <v>206.7676823354808</v>
      </c>
    </row>
    <row r="66" spans="1:13" ht="15.75">
      <c r="A66" s="36" t="s">
        <v>302</v>
      </c>
      <c r="B66" s="37">
        <f>apachearagon!C28</f>
        <v>0.8691666666666666</v>
      </c>
      <c r="C66" s="37">
        <f>apachearagon!C24-apachearagon!D24</f>
        <v>2.892500000000001</v>
      </c>
      <c r="D66" s="37">
        <f>apachearagon!P30</f>
        <v>4.7</v>
      </c>
      <c r="E66" s="37">
        <f>apachearagon!P28</f>
        <v>154.1</v>
      </c>
      <c r="F66" s="158">
        <f>apachearagon!D3</f>
        <v>0.375</v>
      </c>
      <c r="G66" s="238">
        <v>0</v>
      </c>
      <c r="H66" s="37">
        <f aca="true" t="shared" si="1" ref="H66:H71">((E66*B66/F66)+(D66*C66/F66))*(1-G66)</f>
        <v>393.4222222222222</v>
      </c>
      <c r="I66" s="37">
        <v>0</v>
      </c>
      <c r="J66" s="37">
        <v>0</v>
      </c>
      <c r="K66" s="36">
        <v>0.55</v>
      </c>
      <c r="L66" s="159">
        <f t="shared" si="0"/>
        <v>0</v>
      </c>
      <c r="M66" s="159">
        <f aca="true" t="shared" si="2" ref="M66:M72">L66+H66</f>
        <v>393.4222222222222</v>
      </c>
    </row>
    <row r="67" spans="1:13" ht="15.75">
      <c r="A67" s="36" t="s">
        <v>61</v>
      </c>
      <c r="B67" s="37">
        <f>reserve!C29</f>
        <v>1.7683333333333333</v>
      </c>
      <c r="C67" s="37">
        <f>reserve!C24-reserve!D24</f>
        <v>3.665</v>
      </c>
      <c r="D67" s="49">
        <f>reserve!M31</f>
        <v>10.31</v>
      </c>
      <c r="E67" s="37">
        <f>reserve!M29</f>
        <v>122.44</v>
      </c>
      <c r="F67" s="158">
        <f>reserve!D3</f>
        <v>0.375</v>
      </c>
      <c r="G67" s="37">
        <f>reserve!J32</f>
        <v>0.23046846845626182</v>
      </c>
      <c r="H67" s="37">
        <f t="shared" si="1"/>
        <v>521.8467952651347</v>
      </c>
      <c r="I67" s="37">
        <f>reserve!P31</f>
        <v>0</v>
      </c>
      <c r="J67" s="37">
        <f>reserve!P29</f>
        <v>0</v>
      </c>
      <c r="K67" s="36">
        <v>0.55</v>
      </c>
      <c r="L67" s="159">
        <f t="shared" si="0"/>
        <v>0</v>
      </c>
      <c r="M67" s="159">
        <f t="shared" si="2"/>
        <v>521.8467952651347</v>
      </c>
    </row>
    <row r="68" spans="1:13" ht="15.75">
      <c r="A68" s="36" t="s">
        <v>62</v>
      </c>
      <c r="B68" s="37">
        <f>glenwood!C29</f>
        <v>1.9066666666666665</v>
      </c>
      <c r="C68" s="37">
        <f>glenwood!C24-glenwood!D24</f>
        <v>4.570833333333335</v>
      </c>
      <c r="D68" s="49">
        <f>glenwood!M31</f>
        <v>2.04</v>
      </c>
      <c r="E68" s="37">
        <f>glenwood!M29</f>
        <v>59.27</v>
      </c>
      <c r="F68" s="158">
        <f>glenwood!D3</f>
        <v>0.41</v>
      </c>
      <c r="G68" s="37">
        <f>glenwood!J32</f>
        <v>0.021017800755471404</v>
      </c>
      <c r="H68" s="37">
        <f t="shared" si="1"/>
        <v>292.10114736595415</v>
      </c>
      <c r="I68" s="37">
        <f>glenwood!P31</f>
        <v>0</v>
      </c>
      <c r="J68" s="37">
        <f>glenwood!P29</f>
        <v>0.47</v>
      </c>
      <c r="K68" s="36">
        <v>0.55</v>
      </c>
      <c r="L68" s="159">
        <f t="shared" si="0"/>
        <v>1.629333333333333</v>
      </c>
      <c r="M68" s="159">
        <f>L68+H68</f>
        <v>293.73048069928745</v>
      </c>
    </row>
    <row r="69" spans="1:13" ht="15.75">
      <c r="A69" s="36" t="s">
        <v>189</v>
      </c>
      <c r="B69" s="37">
        <f>cliffgila!C29</f>
        <v>1.854166666666667</v>
      </c>
      <c r="C69" s="37">
        <f>cliffgila!C24-cliffgila!D24</f>
        <v>4.595000000000001</v>
      </c>
      <c r="D69" s="49">
        <f>cliffgila!M31</f>
        <v>9.75</v>
      </c>
      <c r="E69" s="37">
        <f>cliffgila!M29</f>
        <v>439.17</v>
      </c>
      <c r="F69" s="158">
        <f>cliffgila!D3</f>
        <v>0.41</v>
      </c>
      <c r="G69" s="37">
        <f>cliffgila!J32</f>
        <v>0</v>
      </c>
      <c r="H69" s="37">
        <f t="shared" si="1"/>
        <v>2095.35518292683</v>
      </c>
      <c r="I69" s="37">
        <f>cliffgila!P31</f>
        <v>0.54</v>
      </c>
      <c r="J69" s="37">
        <f>cliffgila!P29</f>
        <v>9.57</v>
      </c>
      <c r="K69" s="36">
        <v>0.55</v>
      </c>
      <c r="L69" s="159">
        <f t="shared" si="0"/>
        <v>36.77395454545455</v>
      </c>
      <c r="M69" s="159">
        <f t="shared" si="2"/>
        <v>2132.1291374722846</v>
      </c>
    </row>
    <row r="70" spans="1:13" ht="15.75">
      <c r="A70" s="36" t="s">
        <v>63</v>
      </c>
      <c r="B70" s="37">
        <f>uppergila!C28</f>
        <v>1.4266666666666665</v>
      </c>
      <c r="C70" s="37">
        <f>uppergila!C24-uppergila!D24</f>
        <v>2.9466666666666663</v>
      </c>
      <c r="D70" s="49">
        <f>uppergila!M30</f>
        <v>1.02</v>
      </c>
      <c r="E70" s="37">
        <f>uppergila!M28</f>
        <v>36.13</v>
      </c>
      <c r="F70" s="158">
        <f>uppergila!D3</f>
        <v>0.338</v>
      </c>
      <c r="G70" s="37">
        <f>uppergila!J31</f>
        <v>0</v>
      </c>
      <c r="H70" s="37">
        <f t="shared" si="1"/>
        <v>161.3936883629191</v>
      </c>
      <c r="I70" s="37">
        <f>uppergila!P30</f>
        <v>0</v>
      </c>
      <c r="J70" s="37">
        <f>uppergila!P28</f>
        <v>0</v>
      </c>
      <c r="K70" s="36">
        <v>0.55</v>
      </c>
      <c r="L70" s="159">
        <f t="shared" si="0"/>
        <v>0</v>
      </c>
      <c r="M70" s="159">
        <f t="shared" si="2"/>
        <v>161.3936883629191</v>
      </c>
    </row>
    <row r="71" spans="1:13" ht="15.75">
      <c r="A71" s="36" t="s">
        <v>65</v>
      </c>
      <c r="B71" s="37">
        <f>redrock!C28</f>
        <v>2.167500000000001</v>
      </c>
      <c r="C71" s="37">
        <f>redrock!C24-redrock!D24</f>
        <v>4.913333333333334</v>
      </c>
      <c r="D71" s="37">
        <f>redrock!L30</f>
        <v>0</v>
      </c>
      <c r="E71" s="37">
        <f>redrock!L28</f>
        <v>24.7</v>
      </c>
      <c r="F71" s="158">
        <f>redrock!D3</f>
        <v>0.441</v>
      </c>
      <c r="G71" s="37">
        <f>redrock!J31</f>
        <v>0.13483033082500037</v>
      </c>
      <c r="H71" s="37">
        <f t="shared" si="1"/>
        <v>105.03130356244732</v>
      </c>
      <c r="I71" s="37">
        <f>redrock!O30</f>
        <v>0</v>
      </c>
      <c r="J71" s="37">
        <f>redrock!O28</f>
        <v>0</v>
      </c>
      <c r="K71" s="36">
        <v>0.55</v>
      </c>
      <c r="L71" s="159">
        <f t="shared" si="0"/>
        <v>0</v>
      </c>
      <c r="M71" s="159">
        <f t="shared" si="2"/>
        <v>105.03130356244732</v>
      </c>
    </row>
    <row r="72" spans="1:13" ht="15.75">
      <c r="A72" s="36" t="s">
        <v>325</v>
      </c>
      <c r="B72" s="37">
        <f>virden!C28</f>
        <v>2.2608333333333337</v>
      </c>
      <c r="C72" s="37">
        <f>virden!C23-virden!D23</f>
        <v>4.798333333333335</v>
      </c>
      <c r="D72" s="49"/>
      <c r="E72" s="49"/>
      <c r="F72" s="158"/>
      <c r="G72" s="49"/>
      <c r="H72" s="159"/>
      <c r="I72" s="49">
        <f>virden!P30</f>
        <v>0</v>
      </c>
      <c r="J72" s="37">
        <f>virden!P28</f>
        <v>220.61</v>
      </c>
      <c r="K72" s="36">
        <v>0.55</v>
      </c>
      <c r="L72" s="159">
        <f t="shared" si="0"/>
        <v>906.8408030303032</v>
      </c>
      <c r="M72" s="159">
        <f t="shared" si="2"/>
        <v>906.8408030303032</v>
      </c>
    </row>
    <row r="73" spans="1:13" ht="15.75">
      <c r="A73" s="36"/>
      <c r="B73" s="36"/>
      <c r="C73" s="118"/>
      <c r="D73" s="36"/>
      <c r="E73" s="36"/>
      <c r="F73" s="36"/>
      <c r="G73" s="36"/>
      <c r="H73" s="36"/>
      <c r="I73" s="39"/>
      <c r="J73" s="36"/>
      <c r="K73" s="36"/>
      <c r="L73" s="36"/>
      <c r="M73" s="36"/>
    </row>
    <row r="74" spans="1:13" ht="15.75">
      <c r="A74" s="36" t="s">
        <v>233</v>
      </c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</row>
    <row r="75" spans="1:13" ht="15.75">
      <c r="A75" s="36" t="s">
        <v>234</v>
      </c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</row>
    <row r="76" ht="15.75">
      <c r="A76" s="36" t="s">
        <v>303</v>
      </c>
    </row>
    <row r="77" ht="15.75">
      <c r="A77" s="36" t="s">
        <v>326</v>
      </c>
    </row>
  </sheetData>
  <sheetProtection password="CC93" sheet="1" objects="1" scenarios="1"/>
  <mergeCells count="2">
    <mergeCell ref="C3:F3"/>
    <mergeCell ref="A61:L61"/>
  </mergeCells>
  <printOptions gridLines="1" horizontalCentered="1"/>
  <pageMargins left="0.75" right="0.25" top="0.75" bottom="0.75" header="0.5" footer="0.5"/>
  <pageSetup horizontalDpi="600" verticalDpi="600" orientation="portrait" scale="61" r:id="rId1"/>
  <headerFooter alignWithMargins="0">
    <oddHeader>&amp;L&amp;D</oddHeader>
    <oddFooter>&amp;L&amp;F&amp;R&amp;A</oddFooter>
  </headerFooter>
  <rowBreaks count="1" manualBreakCount="1">
    <brk id="60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62"/>
  <sheetViews>
    <sheetView zoomScale="75" zoomScaleNormal="75" zoomScaleSheetLayoutView="75" zoomScalePageLayoutView="0" workbookViewId="0" topLeftCell="A1">
      <selection activeCell="A7" sqref="A7"/>
    </sheetView>
  </sheetViews>
  <sheetFormatPr defaultColWidth="9.140625" defaultRowHeight="12.75"/>
  <cols>
    <col min="1" max="1" width="28.28125" style="110" customWidth="1"/>
    <col min="2" max="24" width="10.7109375" style="110" customWidth="1"/>
    <col min="25" max="25" width="8.7109375" style="110" customWidth="1"/>
    <col min="26" max="27" width="9.8515625" style="110" bestFit="1" customWidth="1"/>
    <col min="28" max="28" width="8.7109375" style="110" bestFit="1" customWidth="1"/>
    <col min="29" max="30" width="9.8515625" style="110" bestFit="1" customWidth="1"/>
    <col min="31" max="31" width="10.140625" style="110" customWidth="1"/>
    <col min="32" max="33" width="9.8515625" style="110" bestFit="1" customWidth="1"/>
    <col min="34" max="34" width="9.00390625" style="110" customWidth="1"/>
    <col min="35" max="35" width="15.7109375" style="110" customWidth="1"/>
    <col min="36" max="36" width="7.140625" style="110" bestFit="1" customWidth="1"/>
    <col min="37" max="37" width="8.7109375" style="110" customWidth="1"/>
    <col min="38" max="38" width="8.7109375" style="110" bestFit="1" customWidth="1"/>
    <col min="39" max="39" width="8.57421875" style="110" bestFit="1" customWidth="1"/>
    <col min="40" max="40" width="8.8515625" style="110" customWidth="1"/>
    <col min="41" max="207" width="9.7109375" style="110" customWidth="1"/>
    <col min="208" max="16384" width="9.140625" style="110" customWidth="1"/>
  </cols>
  <sheetData>
    <row r="1" spans="1:33" ht="18">
      <c r="A1" s="60" t="s">
        <v>30</v>
      </c>
      <c r="B1" s="49" t="s">
        <v>266</v>
      </c>
      <c r="C1" s="49"/>
      <c r="D1" s="49"/>
      <c r="E1" s="49"/>
      <c r="F1" s="49"/>
      <c r="G1" s="52"/>
      <c r="H1" s="49"/>
      <c r="I1" s="49"/>
      <c r="J1" s="49"/>
      <c r="K1" s="49"/>
      <c r="L1" s="49"/>
      <c r="M1" s="52"/>
      <c r="O1" s="46"/>
      <c r="P1" s="46"/>
      <c r="Q1" s="46"/>
      <c r="R1" s="49"/>
      <c r="S1" s="52"/>
      <c r="T1" s="49"/>
      <c r="U1" s="49"/>
      <c r="V1" s="49"/>
      <c r="W1" s="49"/>
      <c r="X1" s="49"/>
      <c r="Y1" s="52"/>
      <c r="Z1" s="49"/>
      <c r="AA1" s="49"/>
      <c r="AB1" s="49"/>
      <c r="AC1" s="49"/>
      <c r="AD1" s="49"/>
      <c r="AE1" s="52"/>
      <c r="AF1" s="49"/>
      <c r="AG1" s="49"/>
    </row>
    <row r="2" spans="1:45" s="112" customFormat="1" ht="16.5" customHeight="1">
      <c r="A2" s="46" t="s">
        <v>264</v>
      </c>
      <c r="B2" s="46"/>
      <c r="C2" s="128"/>
      <c r="D2" s="123"/>
      <c r="E2" s="123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61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</row>
    <row r="3" spans="1:30" s="45" customFormat="1" ht="18">
      <c r="A3" s="389" t="s">
        <v>167</v>
      </c>
      <c r="B3" s="389"/>
      <c r="C3" s="389"/>
      <c r="D3" s="62">
        <v>0.375</v>
      </c>
      <c r="E3" s="45" t="s">
        <v>173</v>
      </c>
      <c r="P3" s="42"/>
      <c r="T3" s="42"/>
      <c r="Y3" s="42"/>
      <c r="AB3" s="4"/>
      <c r="AD3" s="54"/>
    </row>
    <row r="4" spans="1:18" s="36" customFormat="1" ht="18">
      <c r="A4" s="91" t="s">
        <v>228</v>
      </c>
      <c r="B4" s="45"/>
      <c r="C4" s="47"/>
      <c r="D4" s="47"/>
      <c r="E4" s="47"/>
      <c r="F4" s="47"/>
      <c r="G4" s="47"/>
      <c r="H4" s="47"/>
      <c r="I4" s="39"/>
      <c r="J4" s="39"/>
      <c r="K4" s="39"/>
      <c r="L4" s="45"/>
      <c r="M4" s="45"/>
      <c r="N4" s="45"/>
      <c r="O4" s="42"/>
      <c r="P4" s="45"/>
      <c r="Q4" s="45"/>
      <c r="R4" s="39"/>
    </row>
    <row r="5" spans="1:41" s="61" customFormat="1" ht="18">
      <c r="A5" s="133" t="s">
        <v>194</v>
      </c>
      <c r="B5" s="133"/>
      <c r="C5" s="111"/>
      <c r="D5" s="111"/>
      <c r="E5" s="111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19"/>
      <c r="AH5" s="111"/>
      <c r="AI5" s="111"/>
      <c r="AJ5" s="111"/>
      <c r="AK5" s="111"/>
      <c r="AL5" s="111"/>
      <c r="AM5" s="111"/>
      <c r="AN5" s="111"/>
      <c r="AO5" s="111"/>
    </row>
    <row r="6" spans="1:49" s="49" customFormat="1" ht="15.75" customHeight="1">
      <c r="A6" s="50"/>
      <c r="B6" s="50"/>
      <c r="D6" s="50"/>
      <c r="E6" s="390" t="s">
        <v>31</v>
      </c>
      <c r="F6" s="391"/>
      <c r="G6" s="391"/>
      <c r="H6" s="391"/>
      <c r="I6" s="391"/>
      <c r="J6" s="391"/>
      <c r="K6" s="160"/>
      <c r="L6" s="387"/>
      <c r="M6" s="388"/>
      <c r="N6" s="388"/>
      <c r="O6" s="388"/>
      <c r="P6" s="388"/>
      <c r="Q6" s="73"/>
      <c r="R6" s="387"/>
      <c r="S6" s="388"/>
      <c r="T6" s="388"/>
      <c r="U6" s="388"/>
      <c r="V6" s="388"/>
      <c r="W6" s="73"/>
      <c r="X6" s="387"/>
      <c r="Y6" s="388"/>
      <c r="Z6" s="388"/>
      <c r="AA6" s="388"/>
      <c r="AB6" s="388"/>
      <c r="AC6" s="73"/>
      <c r="AD6" s="387"/>
      <c r="AE6" s="388"/>
      <c r="AF6" s="388"/>
      <c r="AG6" s="388"/>
      <c r="AH6" s="388"/>
      <c r="AI6" s="73"/>
      <c r="AJ6" s="387"/>
      <c r="AK6" s="388"/>
      <c r="AL6" s="388"/>
      <c r="AM6" s="388"/>
      <c r="AN6" s="388"/>
      <c r="AO6" s="73"/>
      <c r="AP6" s="387"/>
      <c r="AQ6" s="388"/>
      <c r="AR6" s="388"/>
      <c r="AS6" s="388"/>
      <c r="AT6" s="388"/>
      <c r="AU6" s="61"/>
      <c r="AV6" s="61"/>
      <c r="AW6" s="61"/>
    </row>
    <row r="7" spans="6:48" s="122" customFormat="1" ht="15">
      <c r="F7" s="338">
        <v>0</v>
      </c>
      <c r="G7" s="115" t="s">
        <v>191</v>
      </c>
      <c r="H7" s="115"/>
      <c r="I7" s="115"/>
      <c r="L7" s="54"/>
      <c r="M7" s="115"/>
      <c r="N7" s="115"/>
      <c r="O7" s="115"/>
      <c r="R7" s="45"/>
      <c r="S7" s="115"/>
      <c r="T7" s="115"/>
      <c r="U7" s="115"/>
      <c r="X7" s="54"/>
      <c r="Y7" s="115"/>
      <c r="Z7" s="115"/>
      <c r="AA7" s="115"/>
      <c r="AD7" s="54"/>
      <c r="AE7" s="115"/>
      <c r="AF7" s="115"/>
      <c r="AG7" s="115"/>
      <c r="AJ7" s="54"/>
      <c r="AK7" s="115"/>
      <c r="AL7" s="115"/>
      <c r="AM7" s="115"/>
      <c r="AP7" s="54"/>
      <c r="AQ7" s="115"/>
      <c r="AR7" s="115"/>
      <c r="AS7" s="115"/>
      <c r="AV7" s="115"/>
    </row>
    <row r="8" spans="6:48" s="122" customFormat="1" ht="15">
      <c r="F8" s="54">
        <v>0</v>
      </c>
      <c r="G8" s="115" t="s">
        <v>212</v>
      </c>
      <c r="H8" s="115"/>
      <c r="I8" s="115"/>
      <c r="L8" s="54"/>
      <c r="M8" s="115"/>
      <c r="N8" s="115"/>
      <c r="O8" s="115"/>
      <c r="R8" s="54"/>
      <c r="S8" s="115"/>
      <c r="T8" s="115"/>
      <c r="U8" s="115"/>
      <c r="X8" s="54"/>
      <c r="Y8" s="115"/>
      <c r="Z8" s="115"/>
      <c r="AA8" s="115"/>
      <c r="AD8" s="54"/>
      <c r="AE8" s="115"/>
      <c r="AF8" s="115"/>
      <c r="AG8" s="115"/>
      <c r="AJ8" s="54"/>
      <c r="AK8" s="115"/>
      <c r="AL8" s="115"/>
      <c r="AM8" s="115"/>
      <c r="AP8" s="54"/>
      <c r="AQ8" s="115"/>
      <c r="AR8" s="115"/>
      <c r="AS8" s="115"/>
      <c r="AV8" s="112"/>
    </row>
    <row r="9" spans="3:29" s="112" customFormat="1" ht="15">
      <c r="C9" s="130"/>
      <c r="D9" s="49"/>
      <c r="E9" s="49"/>
      <c r="F9" s="341">
        <v>12.02</v>
      </c>
      <c r="G9" s="112" t="s">
        <v>200</v>
      </c>
      <c r="J9" s="49"/>
      <c r="K9" s="49"/>
      <c r="L9" s="51"/>
      <c r="P9" s="49"/>
      <c r="Q9" s="49"/>
      <c r="R9" s="54"/>
      <c r="V9" s="49"/>
      <c r="W9" s="49"/>
      <c r="X9" s="54"/>
      <c r="AB9" s="49"/>
      <c r="AC9" s="49"/>
    </row>
    <row r="10" spans="3:43" s="112" customFormat="1" ht="15">
      <c r="C10" s="130"/>
      <c r="F10" s="54">
        <f>SUM(F7:F9)</f>
        <v>12.02</v>
      </c>
      <c r="G10" s="49" t="s">
        <v>201</v>
      </c>
      <c r="H10" s="49"/>
      <c r="I10" s="49"/>
      <c r="L10" s="54"/>
      <c r="M10" s="49"/>
      <c r="N10" s="49"/>
      <c r="O10" s="49"/>
      <c r="R10" s="54"/>
      <c r="S10" s="49"/>
      <c r="T10" s="49"/>
      <c r="U10" s="49"/>
      <c r="X10" s="54"/>
      <c r="Y10" s="49"/>
      <c r="Z10" s="49"/>
      <c r="AA10" s="49"/>
      <c r="AD10" s="54"/>
      <c r="AE10" s="49"/>
      <c r="AF10" s="49"/>
      <c r="AJ10" s="54"/>
      <c r="AK10" s="49"/>
      <c r="AQ10" s="49"/>
    </row>
    <row r="11" spans="1:46" s="127" customFormat="1" ht="93.75" customHeight="1">
      <c r="A11" s="125" t="s">
        <v>88</v>
      </c>
      <c r="B11" s="50" t="s">
        <v>265</v>
      </c>
      <c r="C11" s="124" t="s">
        <v>206</v>
      </c>
      <c r="D11" s="126" t="s">
        <v>196</v>
      </c>
      <c r="E11" s="125" t="s">
        <v>19</v>
      </c>
      <c r="F11" s="126" t="s">
        <v>362</v>
      </c>
      <c r="G11" s="126" t="s">
        <v>217</v>
      </c>
      <c r="H11" s="126" t="s">
        <v>192</v>
      </c>
      <c r="I11" s="126" t="s">
        <v>195</v>
      </c>
      <c r="J11" s="124" t="s">
        <v>297</v>
      </c>
      <c r="K11" s="125"/>
      <c r="L11" s="126"/>
      <c r="M11" s="126"/>
      <c r="N11" s="126"/>
      <c r="O11" s="126"/>
      <c r="P11" s="124"/>
      <c r="Q11" s="125"/>
      <c r="R11" s="126"/>
      <c r="S11" s="126"/>
      <c r="T11" s="126"/>
      <c r="U11" s="126"/>
      <c r="V11" s="124"/>
      <c r="W11" s="125"/>
      <c r="X11" s="126"/>
      <c r="Y11" s="126"/>
      <c r="Z11" s="126"/>
      <c r="AA11" s="126"/>
      <c r="AB11" s="124"/>
      <c r="AC11" s="125"/>
      <c r="AD11" s="126"/>
      <c r="AE11" s="126"/>
      <c r="AF11" s="126"/>
      <c r="AG11" s="126"/>
      <c r="AH11" s="124"/>
      <c r="AI11" s="125"/>
      <c r="AJ11" s="126"/>
      <c r="AK11" s="126"/>
      <c r="AL11" s="126"/>
      <c r="AM11" s="126"/>
      <c r="AN11" s="124"/>
      <c r="AO11" s="125"/>
      <c r="AP11" s="126"/>
      <c r="AQ11" s="126"/>
      <c r="AR11" s="126"/>
      <c r="AS11" s="126"/>
      <c r="AT11" s="124"/>
    </row>
    <row r="12" spans="1:46" s="127" customFormat="1" ht="15.75" customHeight="1">
      <c r="A12" s="55" t="s">
        <v>180</v>
      </c>
      <c r="B12" s="54">
        <f>F45/$D$3</f>
        <v>0</v>
      </c>
      <c r="C12" s="179">
        <f>1.64/12</f>
        <v>0.13666666666666666</v>
      </c>
      <c r="D12" s="338">
        <f>0/12</f>
        <v>0</v>
      </c>
      <c r="E12" s="126"/>
      <c r="F12" s="54">
        <f>$F$7*(IF($C12-$D12&lt;0,0,ABS($C12-$D12)))</f>
        <v>0</v>
      </c>
      <c r="G12" s="54">
        <f aca="true" t="shared" si="0" ref="G12:G23">F12/$D$3</f>
        <v>0</v>
      </c>
      <c r="H12" s="49">
        <f>F$9*$B12</f>
        <v>0</v>
      </c>
      <c r="I12" s="54">
        <f>G12+H12</f>
        <v>0</v>
      </c>
      <c r="J12" s="54">
        <f>IF(E12-I12&gt;0,0,ABS(E12-I12))</f>
        <v>0</v>
      </c>
      <c r="K12" s="50"/>
      <c r="L12" s="54"/>
      <c r="M12" s="126"/>
      <c r="N12" s="126"/>
      <c r="O12" s="126"/>
      <c r="P12" s="124"/>
      <c r="Q12" s="50"/>
      <c r="R12" s="54"/>
      <c r="S12" s="126"/>
      <c r="T12" s="126"/>
      <c r="U12" s="126"/>
      <c r="V12" s="124"/>
      <c r="W12" s="50"/>
      <c r="X12" s="54"/>
      <c r="Y12" s="126"/>
      <c r="Z12" s="126"/>
      <c r="AA12" s="126"/>
      <c r="AB12" s="124"/>
      <c r="AC12" s="50"/>
      <c r="AD12" s="54"/>
      <c r="AE12" s="126"/>
      <c r="AF12" s="126"/>
      <c r="AG12" s="126"/>
      <c r="AH12" s="124"/>
      <c r="AI12" s="54"/>
      <c r="AJ12" s="126"/>
      <c r="AK12" s="126"/>
      <c r="AL12" s="126"/>
      <c r="AM12" s="126"/>
      <c r="AN12" s="124"/>
      <c r="AO12" s="50"/>
      <c r="AP12" s="54"/>
      <c r="AQ12" s="126"/>
      <c r="AR12" s="126"/>
      <c r="AS12" s="126"/>
      <c r="AT12" s="124"/>
    </row>
    <row r="13" spans="1:46" s="112" customFormat="1" ht="15.75">
      <c r="A13" s="55" t="s">
        <v>21</v>
      </c>
      <c r="B13" s="51">
        <f>G45/$D$3</f>
        <v>0</v>
      </c>
      <c r="C13" s="108">
        <f>2.16/12</f>
        <v>0.18000000000000002</v>
      </c>
      <c r="D13" s="324">
        <f>0.14/12</f>
        <v>0.011666666666666667</v>
      </c>
      <c r="E13" s="54"/>
      <c r="F13" s="54">
        <f aca="true" t="shared" si="1" ref="F13:F23">$F$7*(IF($C13-$D13&lt;0,0,ABS($C13-$D13)))</f>
        <v>0</v>
      </c>
      <c r="G13" s="54">
        <f t="shared" si="0"/>
        <v>0</v>
      </c>
      <c r="H13" s="49">
        <f>F$9*$B13</f>
        <v>0</v>
      </c>
      <c r="I13" s="54">
        <f aca="true" t="shared" si="2" ref="I13:I22">G13+H13</f>
        <v>0</v>
      </c>
      <c r="J13" s="54">
        <f>IF(E13-I13&gt;0,0,ABS(E13-I13))</f>
        <v>0</v>
      </c>
      <c r="K13" s="49"/>
      <c r="L13" s="54"/>
      <c r="M13" s="54"/>
      <c r="N13" s="49"/>
      <c r="O13" s="54"/>
      <c r="P13" s="54"/>
      <c r="Q13" s="49"/>
      <c r="R13" s="54"/>
      <c r="S13" s="54"/>
      <c r="T13" s="49"/>
      <c r="U13" s="54"/>
      <c r="V13" s="54"/>
      <c r="W13" s="49"/>
      <c r="X13" s="54"/>
      <c r="Y13" s="54"/>
      <c r="Z13" s="49"/>
      <c r="AA13" s="54"/>
      <c r="AB13" s="54"/>
      <c r="AC13" s="49"/>
      <c r="AD13" s="54"/>
      <c r="AE13" s="54"/>
      <c r="AF13" s="49"/>
      <c r="AG13" s="54"/>
      <c r="AH13" s="54"/>
      <c r="AI13" s="54"/>
      <c r="AJ13" s="54"/>
      <c r="AK13" s="54"/>
      <c r="AL13" s="49"/>
      <c r="AM13" s="54"/>
      <c r="AN13" s="54"/>
      <c r="AO13" s="131"/>
      <c r="AP13" s="54"/>
      <c r="AQ13" s="54"/>
      <c r="AR13" s="49"/>
      <c r="AS13" s="54"/>
      <c r="AT13" s="54"/>
    </row>
    <row r="14" spans="1:46" s="112" customFormat="1" ht="15.75">
      <c r="A14" s="55" t="s">
        <v>20</v>
      </c>
      <c r="B14" s="51">
        <f>H45/$D$3</f>
        <v>0</v>
      </c>
      <c r="C14" s="108">
        <f>4.54/12</f>
        <v>0.37833333333333335</v>
      </c>
      <c r="D14" s="324">
        <f>1.05/12</f>
        <v>0.08750000000000001</v>
      </c>
      <c r="E14" s="321">
        <v>26.10443364371213</v>
      </c>
      <c r="F14" s="54">
        <f t="shared" si="1"/>
        <v>0</v>
      </c>
      <c r="G14" s="54">
        <f t="shared" si="0"/>
        <v>0</v>
      </c>
      <c r="H14" s="49">
        <f>F$9*$B14</f>
        <v>0</v>
      </c>
      <c r="I14" s="54">
        <f t="shared" si="2"/>
        <v>0</v>
      </c>
      <c r="J14" s="54">
        <f>IF(E14-I14&gt;0,0,ABS(E14-I14))</f>
        <v>0</v>
      </c>
      <c r="K14" s="45"/>
      <c r="L14" s="54"/>
      <c r="M14" s="54"/>
      <c r="N14" s="49"/>
      <c r="O14" s="54"/>
      <c r="P14" s="54"/>
      <c r="Q14" s="45"/>
      <c r="R14" s="54"/>
      <c r="S14" s="54"/>
      <c r="T14" s="49"/>
      <c r="U14" s="54"/>
      <c r="V14" s="54"/>
      <c r="W14" s="54"/>
      <c r="X14" s="54"/>
      <c r="Y14" s="54"/>
      <c r="Z14" s="49"/>
      <c r="AA14" s="54"/>
      <c r="AB14" s="54"/>
      <c r="AC14" s="54"/>
      <c r="AD14" s="54"/>
      <c r="AE14" s="54"/>
      <c r="AF14" s="49"/>
      <c r="AG14" s="54"/>
      <c r="AH14" s="54"/>
      <c r="AI14" s="54"/>
      <c r="AJ14" s="54"/>
      <c r="AK14" s="54"/>
      <c r="AL14" s="49"/>
      <c r="AM14" s="54"/>
      <c r="AN14" s="54"/>
      <c r="AO14" s="131"/>
      <c r="AP14" s="54"/>
      <c r="AQ14" s="54"/>
      <c r="AR14" s="49"/>
      <c r="AS14" s="54"/>
      <c r="AT14" s="54"/>
    </row>
    <row r="15" spans="1:46" s="112" customFormat="1" ht="15.75">
      <c r="A15" s="55" t="s">
        <v>22</v>
      </c>
      <c r="B15" s="51">
        <f>I45/$D$3</f>
        <v>0.1490532332976063</v>
      </c>
      <c r="C15" s="108">
        <f>5.91/12</f>
        <v>0.4925</v>
      </c>
      <c r="D15" s="324">
        <f>0.45/12</f>
        <v>0.0375</v>
      </c>
      <c r="E15" s="322">
        <v>62.193454603871515</v>
      </c>
      <c r="F15" s="54">
        <f t="shared" si="1"/>
        <v>0</v>
      </c>
      <c r="G15" s="54">
        <f t="shared" si="0"/>
        <v>0</v>
      </c>
      <c r="H15" s="49">
        <f aca="true" t="shared" si="3" ref="H15:H22">F$9*$B15</f>
        <v>1.7916198642372279</v>
      </c>
      <c r="I15" s="54">
        <f t="shared" si="2"/>
        <v>1.7916198642372279</v>
      </c>
      <c r="J15" s="54">
        <f aca="true" t="shared" si="4" ref="J15:J22">IF(E15-I15&gt;0,0,ABS(E15-I15))</f>
        <v>0</v>
      </c>
      <c r="K15" s="45"/>
      <c r="L15" s="54"/>
      <c r="M15" s="54"/>
      <c r="N15" s="49"/>
      <c r="O15" s="54"/>
      <c r="P15" s="54"/>
      <c r="Q15" s="45"/>
      <c r="R15" s="54"/>
      <c r="S15" s="54"/>
      <c r="T15" s="49"/>
      <c r="U15" s="54"/>
      <c r="V15" s="54"/>
      <c r="W15" s="54"/>
      <c r="X15" s="54"/>
      <c r="Y15" s="54"/>
      <c r="Z15" s="49"/>
      <c r="AA15" s="54"/>
      <c r="AB15" s="54"/>
      <c r="AC15" s="54"/>
      <c r="AD15" s="54"/>
      <c r="AE15" s="54"/>
      <c r="AF15" s="49"/>
      <c r="AG15" s="54"/>
      <c r="AH15" s="54"/>
      <c r="AI15" s="54"/>
      <c r="AJ15" s="54"/>
      <c r="AK15" s="54"/>
      <c r="AL15" s="49"/>
      <c r="AM15" s="54"/>
      <c r="AN15" s="54"/>
      <c r="AO15" s="131"/>
      <c r="AP15" s="54"/>
      <c r="AQ15" s="54"/>
      <c r="AR15" s="49"/>
      <c r="AS15" s="54"/>
      <c r="AT15" s="54"/>
    </row>
    <row r="16" spans="1:46" s="112" customFormat="1" ht="15.75">
      <c r="A16" s="55" t="s">
        <v>23</v>
      </c>
      <c r="B16" s="51">
        <f>J45/$D$3</f>
        <v>0.4602018578063594</v>
      </c>
      <c r="C16" s="108">
        <f>6.81/12</f>
        <v>0.5675</v>
      </c>
      <c r="D16" s="324">
        <f>0/12</f>
        <v>0</v>
      </c>
      <c r="E16" s="322">
        <v>22.991045441709897</v>
      </c>
      <c r="F16" s="54">
        <f t="shared" si="1"/>
        <v>0</v>
      </c>
      <c r="G16" s="54">
        <f t="shared" si="0"/>
        <v>0</v>
      </c>
      <c r="H16" s="49">
        <f t="shared" si="3"/>
        <v>5.53162633083244</v>
      </c>
      <c r="I16" s="54">
        <f t="shared" si="2"/>
        <v>5.53162633083244</v>
      </c>
      <c r="J16" s="54">
        <f t="shared" si="4"/>
        <v>0</v>
      </c>
      <c r="K16" s="45"/>
      <c r="L16" s="54"/>
      <c r="M16" s="54"/>
      <c r="N16" s="49"/>
      <c r="O16" s="54"/>
      <c r="P16" s="54"/>
      <c r="Q16" s="45"/>
      <c r="R16" s="54"/>
      <c r="S16" s="54"/>
      <c r="T16" s="49"/>
      <c r="U16" s="54"/>
      <c r="V16" s="54"/>
      <c r="W16" s="54"/>
      <c r="X16" s="54"/>
      <c r="Y16" s="54"/>
      <c r="Z16" s="49"/>
      <c r="AA16" s="54"/>
      <c r="AB16" s="54"/>
      <c r="AC16" s="54"/>
      <c r="AD16" s="54"/>
      <c r="AE16" s="54"/>
      <c r="AF16" s="49"/>
      <c r="AG16" s="54"/>
      <c r="AH16" s="54"/>
      <c r="AI16" s="54"/>
      <c r="AJ16" s="54"/>
      <c r="AK16" s="54"/>
      <c r="AL16" s="49"/>
      <c r="AM16" s="54"/>
      <c r="AN16" s="54"/>
      <c r="AO16" s="131"/>
      <c r="AP16" s="54"/>
      <c r="AQ16" s="54"/>
      <c r="AR16" s="49"/>
      <c r="AS16" s="54"/>
      <c r="AT16" s="54"/>
    </row>
    <row r="17" spans="1:46" s="112" customFormat="1" ht="15.75">
      <c r="A17" s="55" t="s">
        <v>24</v>
      </c>
      <c r="B17" s="51">
        <f>K45/$D$3</f>
        <v>0.7247713469096108</v>
      </c>
      <c r="C17" s="108">
        <f>8.13/12</f>
        <v>0.6775000000000001</v>
      </c>
      <c r="D17" s="324">
        <f>0.34/12</f>
        <v>0.028333333333333335</v>
      </c>
      <c r="E17" s="322">
        <v>2.682901439322917</v>
      </c>
      <c r="F17" s="54">
        <f t="shared" si="1"/>
        <v>0</v>
      </c>
      <c r="G17" s="54">
        <f t="shared" si="0"/>
        <v>0</v>
      </c>
      <c r="H17" s="49">
        <f t="shared" si="3"/>
        <v>8.71175158985352</v>
      </c>
      <c r="I17" s="54">
        <f t="shared" si="2"/>
        <v>8.71175158985352</v>
      </c>
      <c r="J17" s="54">
        <f t="shared" si="4"/>
        <v>6.028850150530603</v>
      </c>
      <c r="K17" s="45"/>
      <c r="L17" s="54"/>
      <c r="M17" s="54"/>
      <c r="N17" s="49"/>
      <c r="O17" s="54"/>
      <c r="P17" s="54"/>
      <c r="Q17" s="45"/>
      <c r="R17" s="54"/>
      <c r="S17" s="54"/>
      <c r="T17" s="49"/>
      <c r="U17" s="54"/>
      <c r="V17" s="54"/>
      <c r="W17" s="54"/>
      <c r="X17" s="54"/>
      <c r="Y17" s="54"/>
      <c r="Z17" s="49"/>
      <c r="AA17" s="54"/>
      <c r="AB17" s="54"/>
      <c r="AC17" s="54"/>
      <c r="AD17" s="54"/>
      <c r="AE17" s="54"/>
      <c r="AF17" s="49"/>
      <c r="AG17" s="54"/>
      <c r="AH17" s="54"/>
      <c r="AI17" s="54"/>
      <c r="AJ17" s="54"/>
      <c r="AK17" s="54"/>
      <c r="AL17" s="49"/>
      <c r="AM17" s="54"/>
      <c r="AN17" s="54"/>
      <c r="AO17" s="131"/>
      <c r="AP17" s="54"/>
      <c r="AQ17" s="54"/>
      <c r="AR17" s="49"/>
      <c r="AS17" s="54"/>
      <c r="AT17" s="54"/>
    </row>
    <row r="18" spans="1:46" s="112" customFormat="1" ht="15.75">
      <c r="A18" s="55" t="s">
        <v>25</v>
      </c>
      <c r="B18" s="51">
        <f>L45/$D$3</f>
        <v>0.1490532332976063</v>
      </c>
      <c r="C18" s="108">
        <f>6.23/12</f>
        <v>0.5191666666666667</v>
      </c>
      <c r="D18" s="324">
        <f>6.63/12</f>
        <v>0.5525</v>
      </c>
      <c r="E18" s="322">
        <v>4.952259714218754</v>
      </c>
      <c r="F18" s="54">
        <f t="shared" si="1"/>
        <v>0</v>
      </c>
      <c r="G18" s="54">
        <f t="shared" si="0"/>
        <v>0</v>
      </c>
      <c r="H18" s="49">
        <f t="shared" si="3"/>
        <v>1.7916198642372279</v>
      </c>
      <c r="I18" s="54">
        <f t="shared" si="2"/>
        <v>1.7916198642372279</v>
      </c>
      <c r="J18" s="54">
        <f t="shared" si="4"/>
        <v>0</v>
      </c>
      <c r="K18" s="45"/>
      <c r="L18" s="54"/>
      <c r="M18" s="54"/>
      <c r="N18" s="49"/>
      <c r="O18" s="54"/>
      <c r="P18" s="54"/>
      <c r="Q18" s="45"/>
      <c r="R18" s="54"/>
      <c r="S18" s="54"/>
      <c r="T18" s="49"/>
      <c r="U18" s="54"/>
      <c r="V18" s="54"/>
      <c r="W18" s="54"/>
      <c r="X18" s="54"/>
      <c r="Y18" s="54"/>
      <c r="Z18" s="49"/>
      <c r="AA18" s="54"/>
      <c r="AB18" s="54"/>
      <c r="AC18" s="54"/>
      <c r="AD18" s="54"/>
      <c r="AE18" s="54"/>
      <c r="AF18" s="49"/>
      <c r="AG18" s="54"/>
      <c r="AH18" s="54"/>
      <c r="AI18" s="54"/>
      <c r="AJ18" s="54"/>
      <c r="AK18" s="54"/>
      <c r="AL18" s="49"/>
      <c r="AM18" s="54"/>
      <c r="AN18" s="54"/>
      <c r="AO18" s="131"/>
      <c r="AP18" s="54"/>
      <c r="AQ18" s="54"/>
      <c r="AR18" s="49"/>
      <c r="AS18" s="54"/>
      <c r="AT18" s="54"/>
    </row>
    <row r="19" spans="1:46" s="112" customFormat="1" ht="15.75">
      <c r="A19" s="55" t="s">
        <v>26</v>
      </c>
      <c r="B19" s="51">
        <f>M45/$D$3</f>
        <v>0.3633172561629154</v>
      </c>
      <c r="C19" s="108">
        <f>5.17/12</f>
        <v>0.43083333333333335</v>
      </c>
      <c r="D19" s="324">
        <f>3.1/12</f>
        <v>0.25833333333333336</v>
      </c>
      <c r="E19" s="322">
        <v>0.01482437213541666</v>
      </c>
      <c r="F19" s="54">
        <f t="shared" si="1"/>
        <v>0</v>
      </c>
      <c r="G19" s="54">
        <f t="shared" si="0"/>
        <v>0</v>
      </c>
      <c r="H19" s="49">
        <f t="shared" si="3"/>
        <v>4.367073419078243</v>
      </c>
      <c r="I19" s="54">
        <f t="shared" si="2"/>
        <v>4.367073419078243</v>
      </c>
      <c r="J19" s="54">
        <f t="shared" si="4"/>
        <v>4.352249046942826</v>
      </c>
      <c r="K19" s="45"/>
      <c r="L19" s="54"/>
      <c r="M19" s="54"/>
      <c r="N19" s="49"/>
      <c r="O19" s="54"/>
      <c r="P19" s="54"/>
      <c r="Q19" s="45"/>
      <c r="R19" s="54"/>
      <c r="S19" s="54"/>
      <c r="T19" s="49"/>
      <c r="U19" s="54"/>
      <c r="V19" s="54"/>
      <c r="W19" s="54"/>
      <c r="X19" s="54"/>
      <c r="Y19" s="54"/>
      <c r="Z19" s="49"/>
      <c r="AA19" s="54"/>
      <c r="AB19" s="54"/>
      <c r="AC19" s="54"/>
      <c r="AD19" s="54"/>
      <c r="AE19" s="54"/>
      <c r="AF19" s="49"/>
      <c r="AG19" s="54"/>
      <c r="AH19" s="54"/>
      <c r="AI19" s="54"/>
      <c r="AJ19" s="54"/>
      <c r="AK19" s="54"/>
      <c r="AL19" s="49"/>
      <c r="AM19" s="54"/>
      <c r="AN19" s="54"/>
      <c r="AO19" s="131"/>
      <c r="AP19" s="54"/>
      <c r="AQ19" s="54"/>
      <c r="AR19" s="49"/>
      <c r="AS19" s="54"/>
      <c r="AT19" s="54"/>
    </row>
    <row r="20" spans="1:46" s="112" customFormat="1" ht="15.75">
      <c r="A20" s="55" t="s">
        <v>27</v>
      </c>
      <c r="B20" s="51">
        <f>N45/$D$3</f>
        <v>0.3036959628438728</v>
      </c>
      <c r="C20" s="108">
        <f>4.59/12</f>
        <v>0.3825</v>
      </c>
      <c r="D20" s="324">
        <f>2.69/12</f>
        <v>0.22416666666666665</v>
      </c>
      <c r="E20" s="322">
        <v>0.80903881796875</v>
      </c>
      <c r="F20" s="54">
        <f t="shared" si="1"/>
        <v>0</v>
      </c>
      <c r="G20" s="54">
        <f t="shared" si="0"/>
        <v>0</v>
      </c>
      <c r="H20" s="49">
        <f t="shared" si="3"/>
        <v>3.650425473383351</v>
      </c>
      <c r="I20" s="54">
        <f t="shared" si="2"/>
        <v>3.650425473383351</v>
      </c>
      <c r="J20" s="54">
        <f t="shared" si="4"/>
        <v>2.841386655414601</v>
      </c>
      <c r="K20" s="45"/>
      <c r="L20" s="54"/>
      <c r="M20" s="54"/>
      <c r="N20" s="49"/>
      <c r="O20" s="54"/>
      <c r="P20" s="54"/>
      <c r="Q20" s="45"/>
      <c r="R20" s="54"/>
      <c r="S20" s="54"/>
      <c r="T20" s="49"/>
      <c r="U20" s="54"/>
      <c r="V20" s="54"/>
      <c r="W20" s="54"/>
      <c r="X20" s="54"/>
      <c r="Y20" s="54"/>
      <c r="Z20" s="49"/>
      <c r="AA20" s="54"/>
      <c r="AB20" s="54"/>
      <c r="AC20" s="54"/>
      <c r="AD20" s="54"/>
      <c r="AE20" s="54"/>
      <c r="AF20" s="49"/>
      <c r="AG20" s="54"/>
      <c r="AH20" s="54"/>
      <c r="AI20" s="54"/>
      <c r="AJ20" s="54"/>
      <c r="AK20" s="54"/>
      <c r="AL20" s="49"/>
      <c r="AM20" s="54"/>
      <c r="AN20" s="54"/>
      <c r="AO20" s="131"/>
      <c r="AP20" s="54"/>
      <c r="AQ20" s="54"/>
      <c r="AR20" s="49"/>
      <c r="AS20" s="54"/>
      <c r="AT20" s="54"/>
    </row>
    <row r="21" spans="1:46" s="112" customFormat="1" ht="15.75">
      <c r="A21" s="55" t="s">
        <v>28</v>
      </c>
      <c r="B21" s="51">
        <f>O45/$D$3</f>
        <v>0.165821722043587</v>
      </c>
      <c r="C21" s="108">
        <f>3.85/12</f>
        <v>0.32083333333333336</v>
      </c>
      <c r="D21" s="324">
        <f>1.38/12</f>
        <v>0.11499999999999999</v>
      </c>
      <c r="E21" s="322">
        <v>0</v>
      </c>
      <c r="F21" s="54">
        <f t="shared" si="1"/>
        <v>0</v>
      </c>
      <c r="G21" s="54">
        <f t="shared" si="0"/>
        <v>0</v>
      </c>
      <c r="H21" s="49">
        <f t="shared" si="3"/>
        <v>1.9931770989639157</v>
      </c>
      <c r="I21" s="54">
        <f t="shared" si="2"/>
        <v>1.9931770989639157</v>
      </c>
      <c r="J21" s="54">
        <f t="shared" si="4"/>
        <v>1.9931770989639157</v>
      </c>
      <c r="K21" s="45"/>
      <c r="L21" s="54"/>
      <c r="M21" s="54"/>
      <c r="N21" s="49"/>
      <c r="O21" s="54"/>
      <c r="P21" s="54"/>
      <c r="Q21" s="45"/>
      <c r="R21" s="54"/>
      <c r="S21" s="54"/>
      <c r="T21" s="49"/>
      <c r="U21" s="54"/>
      <c r="V21" s="54"/>
      <c r="W21" s="54"/>
      <c r="X21" s="54"/>
      <c r="Y21" s="54"/>
      <c r="Z21" s="49"/>
      <c r="AA21" s="54"/>
      <c r="AB21" s="54"/>
      <c r="AC21" s="54"/>
      <c r="AD21" s="54"/>
      <c r="AE21" s="54"/>
      <c r="AF21" s="49"/>
      <c r="AG21" s="54"/>
      <c r="AH21" s="54"/>
      <c r="AI21" s="54"/>
      <c r="AJ21" s="54"/>
      <c r="AK21" s="54"/>
      <c r="AL21" s="49"/>
      <c r="AM21" s="54"/>
      <c r="AN21" s="54"/>
      <c r="AO21" s="131"/>
      <c r="AP21" s="54"/>
      <c r="AQ21" s="54"/>
      <c r="AR21" s="49"/>
      <c r="AS21" s="54"/>
      <c r="AT21" s="54"/>
    </row>
    <row r="22" spans="1:46" s="112" customFormat="1" ht="15.75">
      <c r="A22" s="55" t="s">
        <v>29</v>
      </c>
      <c r="B22" s="51">
        <f>P45/$D$3</f>
        <v>0.001863165416220079</v>
      </c>
      <c r="C22" s="108">
        <f>2.01/12</f>
        <v>0.16749999999999998</v>
      </c>
      <c r="D22" s="324">
        <f>1.29/12</f>
        <v>0.1075</v>
      </c>
      <c r="E22" s="322">
        <v>0</v>
      </c>
      <c r="F22" s="54">
        <f t="shared" si="1"/>
        <v>0</v>
      </c>
      <c r="G22" s="54">
        <f t="shared" si="0"/>
        <v>0</v>
      </c>
      <c r="H22" s="49">
        <f t="shared" si="3"/>
        <v>0.022395248302965347</v>
      </c>
      <c r="I22" s="54">
        <f t="shared" si="2"/>
        <v>0.022395248302965347</v>
      </c>
      <c r="J22" s="54">
        <f t="shared" si="4"/>
        <v>0.022395248302965347</v>
      </c>
      <c r="K22" s="45"/>
      <c r="L22" s="54"/>
      <c r="M22" s="54"/>
      <c r="N22" s="49"/>
      <c r="O22" s="54"/>
      <c r="P22" s="54"/>
      <c r="Q22" s="45"/>
      <c r="R22" s="54"/>
      <c r="S22" s="54"/>
      <c r="T22" s="49"/>
      <c r="U22" s="54"/>
      <c r="V22" s="54"/>
      <c r="W22" s="54"/>
      <c r="X22" s="54"/>
      <c r="Y22" s="54"/>
      <c r="Z22" s="49"/>
      <c r="AA22" s="54"/>
      <c r="AB22" s="54"/>
      <c r="AC22" s="54"/>
      <c r="AD22" s="54"/>
      <c r="AE22" s="54"/>
      <c r="AF22" s="49"/>
      <c r="AG22" s="54"/>
      <c r="AH22" s="54"/>
      <c r="AI22" s="54"/>
      <c r="AJ22" s="54"/>
      <c r="AK22" s="54"/>
      <c r="AL22" s="49"/>
      <c r="AM22" s="54"/>
      <c r="AN22" s="54"/>
      <c r="AO22" s="131"/>
      <c r="AP22" s="54"/>
      <c r="AQ22" s="54"/>
      <c r="AR22" s="49"/>
      <c r="AS22" s="54"/>
      <c r="AT22" s="54"/>
    </row>
    <row r="23" spans="1:46" s="112" customFormat="1" ht="15.75">
      <c r="A23" s="55" t="s">
        <v>211</v>
      </c>
      <c r="B23" s="51">
        <f>Q45/$D$3</f>
        <v>0</v>
      </c>
      <c r="C23" s="179">
        <f>1.64/12</f>
        <v>0.13666666666666666</v>
      </c>
      <c r="D23" s="339">
        <f>0.9/12</f>
        <v>0.075</v>
      </c>
      <c r="E23" s="334">
        <v>0</v>
      </c>
      <c r="F23" s="54">
        <f t="shared" si="1"/>
        <v>0</v>
      </c>
      <c r="G23" s="54">
        <f t="shared" si="0"/>
        <v>0</v>
      </c>
      <c r="H23" s="49">
        <f>F$9*$B23</f>
        <v>0</v>
      </c>
      <c r="I23" s="54">
        <f>G23+H23</f>
        <v>0</v>
      </c>
      <c r="J23" s="54">
        <f>IF(E23-I23&gt;0,0,ABS(E23-I23))</f>
        <v>0</v>
      </c>
      <c r="L23" s="54"/>
      <c r="M23" s="54"/>
      <c r="O23" s="54"/>
      <c r="P23" s="54"/>
      <c r="R23" s="54"/>
      <c r="S23" s="54"/>
      <c r="T23" s="121"/>
      <c r="U23" s="54"/>
      <c r="V23" s="54"/>
      <c r="X23" s="54"/>
      <c r="Y23" s="54"/>
      <c r="Z23" s="121"/>
      <c r="AA23" s="54"/>
      <c r="AB23" s="54"/>
      <c r="AD23" s="54"/>
      <c r="AE23" s="54"/>
      <c r="AF23" s="121"/>
      <c r="AG23" s="54"/>
      <c r="AH23" s="54"/>
      <c r="AI23" s="54"/>
      <c r="AJ23" s="54"/>
      <c r="AK23" s="54"/>
      <c r="AL23" s="121"/>
      <c r="AM23" s="54"/>
      <c r="AN23" s="54"/>
      <c r="AP23" s="54"/>
      <c r="AQ23" s="54"/>
      <c r="AR23" s="121"/>
      <c r="AS23" s="54"/>
      <c r="AT23" s="54"/>
    </row>
    <row r="24" spans="1:46" s="120" customFormat="1" ht="15.75">
      <c r="A24" s="53" t="s">
        <v>34</v>
      </c>
      <c r="B24" s="53">
        <f aca="true" t="shared" si="5" ref="B24:J24">SUM(B12:B23)</f>
        <v>2.3177777777777777</v>
      </c>
      <c r="C24" s="53">
        <f t="shared" si="5"/>
        <v>4.390000000000001</v>
      </c>
      <c r="D24" s="53">
        <f t="shared" si="5"/>
        <v>1.4974999999999998</v>
      </c>
      <c r="E24" s="53">
        <f t="shared" si="5"/>
        <v>119.7479580329394</v>
      </c>
      <c r="F24" s="53">
        <f t="shared" si="5"/>
        <v>0</v>
      </c>
      <c r="G24" s="53">
        <f t="shared" si="5"/>
        <v>0</v>
      </c>
      <c r="H24" s="53">
        <f t="shared" si="5"/>
        <v>27.85968888888889</v>
      </c>
      <c r="I24" s="53">
        <f t="shared" si="5"/>
        <v>27.85968888888889</v>
      </c>
      <c r="J24" s="53">
        <f t="shared" si="5"/>
        <v>15.23805820015491</v>
      </c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</row>
    <row r="25" spans="1:29" s="112" customFormat="1" ht="15.75">
      <c r="A25" s="247" t="s">
        <v>353</v>
      </c>
      <c r="B25" s="247"/>
      <c r="C25" s="247"/>
      <c r="D25" s="252"/>
      <c r="E25" s="252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V25" s="49"/>
      <c r="W25" s="49"/>
      <c r="AB25" s="49"/>
      <c r="AC25" s="49"/>
    </row>
    <row r="26" spans="1:46" s="148" customFormat="1" ht="18">
      <c r="A26" s="141" t="s">
        <v>35</v>
      </c>
      <c r="B26" s="142"/>
      <c r="C26" s="146"/>
      <c r="D26" s="147"/>
      <c r="E26" s="147"/>
      <c r="F26" s="382" t="s">
        <v>120</v>
      </c>
      <c r="G26" s="383"/>
      <c r="H26" s="383"/>
      <c r="I26" s="383"/>
      <c r="J26" s="383"/>
      <c r="K26" s="383"/>
      <c r="L26" s="384" t="s">
        <v>121</v>
      </c>
      <c r="M26" s="383"/>
      <c r="N26" s="383"/>
      <c r="O26" s="383"/>
      <c r="P26" s="383"/>
      <c r="Q26" s="383"/>
      <c r="R26" s="196"/>
      <c r="S26" s="385" t="s">
        <v>73</v>
      </c>
      <c r="T26" s="386"/>
      <c r="U26" s="386"/>
      <c r="V26" s="386"/>
      <c r="W26" s="386"/>
      <c r="X26" s="386"/>
      <c r="Y26" s="232"/>
      <c r="Z26" s="230"/>
      <c r="AA26" s="195"/>
      <c r="AB26" s="195"/>
      <c r="AC26" s="195"/>
      <c r="AD26" s="195"/>
      <c r="AE26" s="195"/>
      <c r="AF26" s="231"/>
      <c r="AG26" s="233"/>
      <c r="AH26" s="195"/>
      <c r="AI26" s="195"/>
      <c r="AJ26" s="195"/>
      <c r="AK26" s="196"/>
      <c r="AL26" s="196"/>
      <c r="AM26" s="196"/>
      <c r="AN26" s="196"/>
      <c r="AO26" s="196"/>
      <c r="AP26" s="196"/>
      <c r="AQ26" s="196"/>
      <c r="AR26" s="196"/>
      <c r="AS26" s="196"/>
      <c r="AT26" s="196"/>
    </row>
    <row r="27" spans="1:38" s="140" customFormat="1" ht="72.75" customHeight="1">
      <c r="A27" s="129"/>
      <c r="B27" s="129"/>
      <c r="C27" s="149" t="s">
        <v>8</v>
      </c>
      <c r="D27" s="149" t="s">
        <v>9</v>
      </c>
      <c r="E27" s="150"/>
      <c r="F27" s="116" t="s">
        <v>207</v>
      </c>
      <c r="G27" s="126" t="s">
        <v>0</v>
      </c>
      <c r="H27" s="116" t="s">
        <v>2</v>
      </c>
      <c r="I27" s="116" t="s">
        <v>3</v>
      </c>
      <c r="J27" s="116" t="s">
        <v>298</v>
      </c>
      <c r="K27" s="116" t="s">
        <v>299</v>
      </c>
      <c r="L27" s="129"/>
      <c r="M27" s="116" t="s">
        <v>209</v>
      </c>
      <c r="N27" s="126" t="s">
        <v>0</v>
      </c>
      <c r="O27" s="116" t="s">
        <v>299</v>
      </c>
      <c r="P27" s="116" t="s">
        <v>208</v>
      </c>
      <c r="Q27" s="126" t="s">
        <v>0</v>
      </c>
      <c r="S27" s="126" t="s">
        <v>122</v>
      </c>
      <c r="T27" s="116" t="s">
        <v>1</v>
      </c>
      <c r="U27" s="116" t="s">
        <v>4</v>
      </c>
      <c r="V27" s="126" t="s">
        <v>300</v>
      </c>
      <c r="W27" s="126" t="s">
        <v>123</v>
      </c>
      <c r="X27" s="126" t="s">
        <v>301</v>
      </c>
      <c r="Y27" s="116"/>
      <c r="Z27" s="126"/>
      <c r="AA27" s="116"/>
      <c r="AB27" s="116"/>
      <c r="AC27" s="126"/>
      <c r="AD27" s="126"/>
      <c r="AE27" s="126"/>
      <c r="AG27" s="83"/>
      <c r="AH27" s="4"/>
      <c r="AI27" s="37"/>
      <c r="AJ27" s="4"/>
      <c r="AK27" s="42"/>
      <c r="AL27" s="45"/>
    </row>
    <row r="28" spans="1:39" ht="15.75">
      <c r="A28" s="110" t="s">
        <v>242</v>
      </c>
      <c r="B28" s="49"/>
      <c r="C28" s="51">
        <f>B24*D3</f>
        <v>0.8691666666666666</v>
      </c>
      <c r="E28" s="54"/>
      <c r="F28" s="54">
        <f>($F9+$L9+$R9+$X9+$AD9+$AJ9)-F29</f>
        <v>12.02</v>
      </c>
      <c r="G28" s="54">
        <f>F28*$C28</f>
        <v>10.447383333333333</v>
      </c>
      <c r="H28" s="112">
        <f>H24+N24+T24+Z24+AF24+AL24</f>
        <v>27.85968888888889</v>
      </c>
      <c r="I28" s="112"/>
      <c r="J28" s="49"/>
      <c r="K28" s="49">
        <f>G28*J31</f>
        <v>5.714271825058091</v>
      </c>
      <c r="L28" s="112"/>
      <c r="M28" s="54">
        <v>0</v>
      </c>
      <c r="N28" s="54">
        <f>M28*$C28</f>
        <v>0</v>
      </c>
      <c r="O28" s="49">
        <f>J31*N28</f>
        <v>0</v>
      </c>
      <c r="P28" s="341">
        <v>154.1</v>
      </c>
      <c r="Q28" s="54">
        <f>P28*$C28</f>
        <v>133.93858333333333</v>
      </c>
      <c r="S28" s="112">
        <f>F28+M28+P28</f>
        <v>166.12</v>
      </c>
      <c r="T28" s="49">
        <f>G28+N28+Q28</f>
        <v>144.38596666666666</v>
      </c>
      <c r="U28" s="49">
        <f>O28+K28</f>
        <v>5.714271825058091</v>
      </c>
      <c r="V28" s="49">
        <f>T28-U28</f>
        <v>138.67169484160857</v>
      </c>
      <c r="W28" s="49"/>
      <c r="X28" s="49"/>
      <c r="Y28" s="112"/>
      <c r="Z28" s="112"/>
      <c r="AA28" s="46"/>
      <c r="AB28" s="49"/>
      <c r="AC28" s="49"/>
      <c r="AD28" s="49"/>
      <c r="AE28" s="49"/>
      <c r="AG28" s="49"/>
      <c r="AH28" s="114"/>
      <c r="AI28" s="114"/>
      <c r="AM28" s="49"/>
    </row>
    <row r="29" spans="1:39" ht="15.75">
      <c r="A29" s="110" t="s">
        <v>243</v>
      </c>
      <c r="B29" s="49"/>
      <c r="C29" s="112"/>
      <c r="D29" s="54"/>
      <c r="E29" s="54"/>
      <c r="F29" s="54"/>
      <c r="G29" s="54"/>
      <c r="H29" s="112"/>
      <c r="I29" s="112"/>
      <c r="J29" s="49"/>
      <c r="K29" s="49"/>
      <c r="L29" s="112"/>
      <c r="M29" s="54">
        <v>0</v>
      </c>
      <c r="N29" s="54"/>
      <c r="O29" s="49"/>
      <c r="P29" s="112">
        <v>0</v>
      </c>
      <c r="Q29" s="54"/>
      <c r="S29" s="112"/>
      <c r="T29" s="49"/>
      <c r="U29" s="49"/>
      <c r="V29" s="49"/>
      <c r="W29" s="49"/>
      <c r="X29" s="49"/>
      <c r="Y29" s="112"/>
      <c r="Z29" s="112"/>
      <c r="AA29" s="46"/>
      <c r="AB29" s="49"/>
      <c r="AC29" s="49"/>
      <c r="AD29" s="49"/>
      <c r="AE29" s="49"/>
      <c r="AG29" s="49"/>
      <c r="AH29" s="45"/>
      <c r="AI29" s="4"/>
      <c r="AJ29" s="45"/>
      <c r="AK29" s="45"/>
      <c r="AL29" s="45"/>
      <c r="AM29" s="49"/>
    </row>
    <row r="30" spans="1:39" s="45" customFormat="1" ht="15.75">
      <c r="A30" s="45" t="s">
        <v>50</v>
      </c>
      <c r="E30" s="51"/>
      <c r="F30" s="54">
        <f>F7+L7+R7+X7+AD7+AJ7</f>
        <v>0</v>
      </c>
      <c r="G30" s="54">
        <f>F30*($C24-$D24)</f>
        <v>0</v>
      </c>
      <c r="H30" s="112">
        <f>G24+M24+S24+Y24+AE24+AK24</f>
        <v>0</v>
      </c>
      <c r="J30" s="49"/>
      <c r="K30" s="49">
        <f>G30*J31</f>
        <v>0</v>
      </c>
      <c r="M30" s="54">
        <v>0</v>
      </c>
      <c r="N30" s="54">
        <f>M30*($C24-$D24)</f>
        <v>0</v>
      </c>
      <c r="O30" s="54">
        <f>J31*N30</f>
        <v>0</v>
      </c>
      <c r="P30" s="322">
        <v>4.7</v>
      </c>
      <c r="Q30" s="54">
        <f>P30*($C24-$D24)</f>
        <v>13.594750000000005</v>
      </c>
      <c r="R30" s="54"/>
      <c r="S30" s="112">
        <f>F30+M30+P30</f>
        <v>4.7</v>
      </c>
      <c r="T30" s="49">
        <f>G30+N30+Q30</f>
        <v>13.594750000000005</v>
      </c>
      <c r="U30" s="49">
        <f>O30+K30</f>
        <v>0</v>
      </c>
      <c r="V30" s="49">
        <f>T30-U30</f>
        <v>13.594750000000005</v>
      </c>
      <c r="W30" s="42"/>
      <c r="Y30" s="49"/>
      <c r="Z30" s="112"/>
      <c r="AA30" s="46"/>
      <c r="AB30" s="49"/>
      <c r="AC30" s="49"/>
      <c r="AD30" s="42"/>
      <c r="AI30" s="4"/>
      <c r="AJ30" s="51"/>
      <c r="AM30" s="49"/>
    </row>
    <row r="31" spans="1:39" ht="15.75">
      <c r="A31" s="64" t="s">
        <v>73</v>
      </c>
      <c r="B31" s="49"/>
      <c r="D31" s="54"/>
      <c r="E31" s="54"/>
      <c r="F31" s="54">
        <f>SUM(F28:F30)</f>
        <v>12.02</v>
      </c>
      <c r="G31" s="54">
        <f>SUM(G28:G30)</f>
        <v>10.447383333333333</v>
      </c>
      <c r="H31" s="54">
        <f>SUM(H28:H30)</f>
        <v>27.85968888888889</v>
      </c>
      <c r="I31" s="112">
        <f>J24+AB24</f>
        <v>15.23805820015491</v>
      </c>
      <c r="J31" s="53">
        <f>I31/H31</f>
        <v>0.5469572277324394</v>
      </c>
      <c r="K31" s="54">
        <f>J31*G31</f>
        <v>5.714271825058091</v>
      </c>
      <c r="L31" s="112"/>
      <c r="M31" s="54">
        <f>SUM(M28:M30)</f>
        <v>0</v>
      </c>
      <c r="N31" s="54">
        <f>SUM(N28:N30)</f>
        <v>0</v>
      </c>
      <c r="O31" s="54">
        <f>SUM(O28:O30)</f>
        <v>0</v>
      </c>
      <c r="P31" s="54">
        <f>SUM(P28:P30)</f>
        <v>158.79999999999998</v>
      </c>
      <c r="Q31" s="54">
        <f>SUM(Q28:Q30)</f>
        <v>147.53333333333333</v>
      </c>
      <c r="S31" s="112">
        <f>SUM(S28:S30)</f>
        <v>170.82</v>
      </c>
      <c r="T31" s="49">
        <f>SUM(T28:T30)</f>
        <v>157.98071666666667</v>
      </c>
      <c r="U31" s="49">
        <f>SUM(U28:U30)</f>
        <v>5.714271825058091</v>
      </c>
      <c r="V31" s="49">
        <f>SUM(V28:V30)</f>
        <v>152.26644484160857</v>
      </c>
      <c r="W31" s="54">
        <f>(V31-Q31)*0.1+(Q31*0.02)</f>
        <v>3.4239778174941913</v>
      </c>
      <c r="X31" s="49">
        <f>W31+V31</f>
        <v>155.69042265910278</v>
      </c>
      <c r="Y31" s="112"/>
      <c r="Z31" s="64"/>
      <c r="AA31" s="46"/>
      <c r="AB31" s="46"/>
      <c r="AC31" s="46"/>
      <c r="AD31" s="50"/>
      <c r="AE31" s="46"/>
      <c r="AG31" s="49"/>
      <c r="AH31" s="45"/>
      <c r="AI31" s="4"/>
      <c r="AJ31" s="54"/>
      <c r="AK31" s="45"/>
      <c r="AL31" s="37"/>
      <c r="AM31" s="49"/>
    </row>
    <row r="32" spans="1:38" ht="15.75">
      <c r="A32" s="49"/>
      <c r="B32" s="49"/>
      <c r="C32" s="112"/>
      <c r="D32" s="54"/>
      <c r="E32" s="54"/>
      <c r="F32" s="54"/>
      <c r="G32" s="54"/>
      <c r="H32" s="112"/>
      <c r="I32" s="112"/>
      <c r="J32" s="54"/>
      <c r="K32" s="54"/>
      <c r="L32" s="112"/>
      <c r="M32" s="54"/>
      <c r="N32" s="54"/>
      <c r="O32" s="49"/>
      <c r="P32" s="54"/>
      <c r="Q32" s="54"/>
      <c r="R32" s="54"/>
      <c r="S32" s="112"/>
      <c r="T32" s="112"/>
      <c r="U32" s="49"/>
      <c r="V32" s="49"/>
      <c r="W32" s="49"/>
      <c r="X32" s="46"/>
      <c r="Y32" s="49"/>
      <c r="Z32" s="49"/>
      <c r="AA32" s="49"/>
      <c r="AF32" s="49"/>
      <c r="AG32" s="49"/>
      <c r="AH32" s="94"/>
      <c r="AI32" s="4"/>
      <c r="AJ32" s="49"/>
      <c r="AK32" s="45"/>
      <c r="AL32" s="45"/>
    </row>
    <row r="33" spans="1:38" ht="15.75">
      <c r="A33" s="49" t="s">
        <v>124</v>
      </c>
      <c r="B33" s="49"/>
      <c r="C33" s="112"/>
      <c r="D33" s="54"/>
      <c r="E33" s="54"/>
      <c r="F33" s="54"/>
      <c r="G33" s="54"/>
      <c r="H33" s="112"/>
      <c r="I33" s="112"/>
      <c r="J33" s="54"/>
      <c r="K33" s="54"/>
      <c r="L33" s="112"/>
      <c r="M33" s="54"/>
      <c r="N33" s="54"/>
      <c r="O33" s="49"/>
      <c r="P33" s="54"/>
      <c r="Q33" s="54"/>
      <c r="R33" s="54"/>
      <c r="S33" s="112"/>
      <c r="T33" s="112"/>
      <c r="U33" s="49"/>
      <c r="V33" s="49"/>
      <c r="W33" s="49"/>
      <c r="X33" s="46"/>
      <c r="Y33" s="49"/>
      <c r="Z33" s="49"/>
      <c r="AG33" s="49"/>
      <c r="AH33" s="4"/>
      <c r="AI33" s="37"/>
      <c r="AJ33" s="41"/>
      <c r="AK33" s="94"/>
      <c r="AL33" s="94"/>
    </row>
    <row r="34" spans="1:18" s="36" customFormat="1" ht="15.75">
      <c r="A34" s="48" t="s">
        <v>271</v>
      </c>
      <c r="B34" s="45"/>
      <c r="C34" s="47"/>
      <c r="D34" s="47"/>
      <c r="E34" s="47"/>
      <c r="F34" s="47"/>
      <c r="G34" s="47"/>
      <c r="H34" s="47"/>
      <c r="I34" s="39"/>
      <c r="J34" s="39"/>
      <c r="K34" s="39"/>
      <c r="L34" s="45"/>
      <c r="M34" s="45"/>
      <c r="N34" s="45"/>
      <c r="O34" s="42"/>
      <c r="P34" s="45"/>
      <c r="Q34" s="45"/>
      <c r="R34" s="39"/>
    </row>
    <row r="35" spans="1:33" s="139" customFormat="1" ht="15.75">
      <c r="A35" s="143" t="s">
        <v>198</v>
      </c>
      <c r="B35" s="143"/>
      <c r="D35" s="136"/>
      <c r="E35" s="136"/>
      <c r="F35" s="136"/>
      <c r="G35" s="144"/>
      <c r="H35" s="136"/>
      <c r="I35" s="136"/>
      <c r="J35" s="136"/>
      <c r="K35" s="136"/>
      <c r="L35" s="136"/>
      <c r="M35" s="144"/>
      <c r="N35" s="136"/>
      <c r="O35" s="136"/>
      <c r="P35" s="136"/>
      <c r="Q35" s="136"/>
      <c r="R35" s="136"/>
      <c r="S35" s="144"/>
      <c r="T35" s="136"/>
      <c r="U35" s="136"/>
      <c r="V35" s="137"/>
      <c r="W35" s="137"/>
      <c r="X35" s="137"/>
      <c r="Y35" s="138"/>
      <c r="Z35" s="137"/>
      <c r="AA35" s="137"/>
      <c r="AF35" s="137"/>
      <c r="AG35" s="137"/>
    </row>
    <row r="36" spans="1:33" ht="15.75">
      <c r="A36" s="46"/>
      <c r="B36" s="46"/>
      <c r="C36" s="46"/>
      <c r="F36" s="53" t="s">
        <v>89</v>
      </c>
      <c r="G36" s="53" t="s">
        <v>90</v>
      </c>
      <c r="H36" s="53" t="s">
        <v>91</v>
      </c>
      <c r="I36" s="53" t="s">
        <v>92</v>
      </c>
      <c r="J36" s="53" t="s">
        <v>23</v>
      </c>
      <c r="K36" s="53" t="s">
        <v>93</v>
      </c>
      <c r="L36" s="53" t="s">
        <v>94</v>
      </c>
      <c r="M36" s="53" t="s">
        <v>95</v>
      </c>
      <c r="N36" s="53" t="s">
        <v>96</v>
      </c>
      <c r="O36" s="53" t="s">
        <v>97</v>
      </c>
      <c r="P36" s="53" t="s">
        <v>98</v>
      </c>
      <c r="Q36" s="53" t="s">
        <v>99</v>
      </c>
      <c r="R36" s="53" t="s">
        <v>73</v>
      </c>
      <c r="V36" s="49"/>
      <c r="W36" s="49"/>
      <c r="X36" s="49"/>
      <c r="Y36" s="52"/>
      <c r="Z36" s="49"/>
      <c r="AA36" s="49"/>
      <c r="AF36" s="49"/>
      <c r="AG36" s="49"/>
    </row>
    <row r="37" spans="1:33" ht="15.75">
      <c r="A37" s="46"/>
      <c r="B37" s="46"/>
      <c r="C37" s="46"/>
      <c r="F37" s="53"/>
      <c r="G37" s="50"/>
      <c r="H37" s="50"/>
      <c r="I37" s="53"/>
      <c r="J37" s="50"/>
      <c r="K37" s="50"/>
      <c r="L37" s="50"/>
      <c r="M37" s="50"/>
      <c r="N37" s="53"/>
      <c r="O37" s="50"/>
      <c r="P37" s="53"/>
      <c r="Q37" s="50"/>
      <c r="R37" s="53"/>
      <c r="V37" s="49"/>
      <c r="W37" s="49"/>
      <c r="X37" s="49"/>
      <c r="Y37" s="52"/>
      <c r="Z37" s="49"/>
      <c r="AA37" s="49"/>
      <c r="AF37" s="49"/>
      <c r="AG37" s="49"/>
    </row>
    <row r="38" spans="1:33" ht="15.75">
      <c r="A38" s="46" t="s">
        <v>343</v>
      </c>
      <c r="B38" s="46"/>
      <c r="C38" s="151"/>
      <c r="F38" s="322">
        <v>0</v>
      </c>
      <c r="G38" s="322">
        <v>0</v>
      </c>
      <c r="H38" s="322">
        <v>0</v>
      </c>
      <c r="I38" s="322">
        <v>0.8</v>
      </c>
      <c r="J38" s="322">
        <v>2.47</v>
      </c>
      <c r="K38" s="322">
        <v>3.89</v>
      </c>
      <c r="L38" s="322">
        <v>0.8</v>
      </c>
      <c r="M38" s="322">
        <v>1.95</v>
      </c>
      <c r="N38" s="322">
        <v>1.63</v>
      </c>
      <c r="O38" s="322">
        <v>0.89</v>
      </c>
      <c r="P38" s="322">
        <v>0.01</v>
      </c>
      <c r="Q38" s="322">
        <v>0</v>
      </c>
      <c r="R38" s="45">
        <f>SUM(F38:Q38)</f>
        <v>12.44</v>
      </c>
      <c r="V38" s="49"/>
      <c r="W38" s="49"/>
      <c r="X38" s="49"/>
      <c r="Y38" s="52"/>
      <c r="Z38" s="49"/>
      <c r="AA38" s="49"/>
      <c r="AB38" s="49"/>
      <c r="AC38" s="49"/>
      <c r="AD38" s="49"/>
      <c r="AE38" s="52"/>
      <c r="AF38" s="49"/>
      <c r="AG38" s="49"/>
    </row>
    <row r="39" spans="1:33" ht="15.75">
      <c r="A39" s="46" t="s">
        <v>100</v>
      </c>
      <c r="B39" s="46"/>
      <c r="C39" s="49"/>
      <c r="F39" s="45">
        <f>F38/$R38</f>
        <v>0</v>
      </c>
      <c r="G39" s="45">
        <f aca="true" t="shared" si="6" ref="G39:Q39">G38/$R38</f>
        <v>0</v>
      </c>
      <c r="H39" s="45">
        <f t="shared" si="6"/>
        <v>0</v>
      </c>
      <c r="I39" s="45">
        <f t="shared" si="6"/>
        <v>0.06430868167202573</v>
      </c>
      <c r="J39" s="45">
        <f t="shared" si="6"/>
        <v>0.19855305466237944</v>
      </c>
      <c r="K39" s="45">
        <f t="shared" si="6"/>
        <v>0.3127009646302251</v>
      </c>
      <c r="L39" s="45">
        <f t="shared" si="6"/>
        <v>0.06430868167202573</v>
      </c>
      <c r="M39" s="45">
        <f t="shared" si="6"/>
        <v>0.15675241157556272</v>
      </c>
      <c r="N39" s="45">
        <f t="shared" si="6"/>
        <v>0.1310289389067524</v>
      </c>
      <c r="O39" s="45">
        <f t="shared" si="6"/>
        <v>0.07154340836012862</v>
      </c>
      <c r="P39" s="45">
        <f t="shared" si="6"/>
        <v>0.0008038585209003216</v>
      </c>
      <c r="Q39" s="45">
        <f t="shared" si="6"/>
        <v>0</v>
      </c>
      <c r="R39" s="45">
        <f>SUM(F39:Q39)</f>
        <v>1</v>
      </c>
      <c r="V39" s="49"/>
      <c r="W39" s="49"/>
      <c r="X39" s="49"/>
      <c r="Y39" s="52"/>
      <c r="Z39" s="49"/>
      <c r="AA39" s="49"/>
      <c r="AB39" s="49"/>
      <c r="AC39" s="49"/>
      <c r="AD39" s="49"/>
      <c r="AE39" s="52"/>
      <c r="AF39" s="49"/>
      <c r="AG39" s="49"/>
    </row>
    <row r="40" spans="1:33" ht="15.75" thickBot="1">
      <c r="A40" s="46"/>
      <c r="B40" s="46"/>
      <c r="C40" s="49"/>
      <c r="F40" s="49"/>
      <c r="G40" s="52"/>
      <c r="H40" s="49"/>
      <c r="I40" s="49"/>
      <c r="J40" s="49"/>
      <c r="K40" s="49"/>
      <c r="L40" s="49"/>
      <c r="M40" s="52"/>
      <c r="N40" s="49"/>
      <c r="O40" s="49"/>
      <c r="P40" s="49"/>
      <c r="Q40" s="49"/>
      <c r="R40" s="49"/>
      <c r="S40" s="52"/>
      <c r="T40" s="49"/>
      <c r="V40" s="49"/>
      <c r="W40" s="49"/>
      <c r="X40" s="49"/>
      <c r="Y40" s="52"/>
      <c r="Z40" s="49"/>
      <c r="AA40" s="49"/>
      <c r="AB40" s="49"/>
      <c r="AC40" s="49"/>
      <c r="AD40" s="49"/>
      <c r="AE40" s="52"/>
      <c r="AF40" s="49"/>
      <c r="AG40" s="49"/>
    </row>
    <row r="41" spans="1:33" s="137" customFormat="1" ht="15.75" thickBot="1">
      <c r="A41" s="136" t="s">
        <v>197</v>
      </c>
      <c r="B41" s="136"/>
      <c r="F41" s="340">
        <v>10.43</v>
      </c>
      <c r="G41" s="145" t="s">
        <v>10</v>
      </c>
      <c r="Z41" s="136"/>
      <c r="AA41" s="136"/>
      <c r="AB41" s="136"/>
      <c r="AC41" s="136"/>
      <c r="AD41" s="136"/>
      <c r="AE41" s="144"/>
      <c r="AF41" s="136"/>
      <c r="AG41" s="136"/>
    </row>
    <row r="42" spans="1:33" ht="15.75">
      <c r="A42" s="46"/>
      <c r="B42" s="46"/>
      <c r="C42" s="49"/>
      <c r="F42" s="53" t="s">
        <v>89</v>
      </c>
      <c r="G42" s="53" t="s">
        <v>90</v>
      </c>
      <c r="H42" s="53" t="s">
        <v>91</v>
      </c>
      <c r="I42" s="53" t="s">
        <v>92</v>
      </c>
      <c r="J42" s="53" t="s">
        <v>23</v>
      </c>
      <c r="K42" s="53" t="s">
        <v>93</v>
      </c>
      <c r="L42" s="53" t="s">
        <v>94</v>
      </c>
      <c r="M42" s="53" t="s">
        <v>95</v>
      </c>
      <c r="N42" s="53" t="s">
        <v>96</v>
      </c>
      <c r="O42" s="53" t="s">
        <v>97</v>
      </c>
      <c r="P42" s="53" t="s">
        <v>98</v>
      </c>
      <c r="Q42" s="53" t="s">
        <v>99</v>
      </c>
      <c r="R42" s="53" t="s">
        <v>73</v>
      </c>
      <c r="V42" s="49"/>
      <c r="W42" s="49"/>
      <c r="X42" s="49"/>
      <c r="Y42" s="52"/>
      <c r="Z42" s="49"/>
      <c r="AA42" s="49"/>
      <c r="AB42" s="49"/>
      <c r="AC42" s="49"/>
      <c r="AD42" s="49"/>
      <c r="AE42" s="52"/>
      <c r="AF42" s="49"/>
      <c r="AG42" s="49"/>
    </row>
    <row r="43" spans="1:33" ht="15.75">
      <c r="A43" s="46"/>
      <c r="B43" s="46"/>
      <c r="C43" s="49"/>
      <c r="F43" s="53"/>
      <c r="G43" s="50"/>
      <c r="H43" s="50"/>
      <c r="I43" s="53"/>
      <c r="J43" s="50"/>
      <c r="K43" s="50"/>
      <c r="L43" s="50"/>
      <c r="M43" s="50"/>
      <c r="N43" s="53"/>
      <c r="O43" s="50"/>
      <c r="P43" s="53"/>
      <c r="Q43" s="50"/>
      <c r="R43" s="53"/>
      <c r="V43" s="49"/>
      <c r="W43" s="49"/>
      <c r="X43" s="49"/>
      <c r="Y43" s="52"/>
      <c r="Z43" s="49"/>
      <c r="AA43" s="49"/>
      <c r="AB43" s="49"/>
      <c r="AC43" s="49"/>
      <c r="AD43" s="49"/>
      <c r="AE43" s="52"/>
      <c r="AF43" s="49"/>
      <c r="AG43" s="49"/>
    </row>
    <row r="44" spans="1:33" ht="15.75">
      <c r="A44" s="46" t="s">
        <v>7</v>
      </c>
      <c r="B44" s="46"/>
      <c r="C44" s="49"/>
      <c r="F44" s="49">
        <f>F39*$F41</f>
        <v>0</v>
      </c>
      <c r="G44" s="49">
        <f aca="true" t="shared" si="7" ref="G44:Q44">G39*$F41</f>
        <v>0</v>
      </c>
      <c r="H44" s="49">
        <f t="shared" si="7"/>
        <v>0</v>
      </c>
      <c r="I44" s="49">
        <f t="shared" si="7"/>
        <v>0.6707395498392283</v>
      </c>
      <c r="J44" s="49">
        <f t="shared" si="7"/>
        <v>2.0709083601286173</v>
      </c>
      <c r="K44" s="49">
        <f t="shared" si="7"/>
        <v>3.261471061093248</v>
      </c>
      <c r="L44" s="49">
        <f t="shared" si="7"/>
        <v>0.6707395498392283</v>
      </c>
      <c r="M44" s="49">
        <f t="shared" si="7"/>
        <v>1.6349276527331191</v>
      </c>
      <c r="N44" s="49">
        <f t="shared" si="7"/>
        <v>1.3666318327974276</v>
      </c>
      <c r="O44" s="49">
        <f t="shared" si="7"/>
        <v>0.7461977491961416</v>
      </c>
      <c r="P44" s="49">
        <f t="shared" si="7"/>
        <v>0.008384244372990355</v>
      </c>
      <c r="Q44" s="49">
        <f t="shared" si="7"/>
        <v>0</v>
      </c>
      <c r="R44" s="49">
        <f>SUM(F44:Q44)</f>
        <v>10.430000000000001</v>
      </c>
      <c r="V44" s="49"/>
      <c r="W44" s="49"/>
      <c r="Y44" s="52"/>
      <c r="Z44" s="49"/>
      <c r="AA44" s="49"/>
      <c r="AB44" s="49"/>
      <c r="AC44" s="49"/>
      <c r="AD44" s="49"/>
      <c r="AE44" s="52"/>
      <c r="AF44" s="49"/>
      <c r="AG44" s="49"/>
    </row>
    <row r="45" spans="1:33" ht="15.75">
      <c r="A45" s="46" t="s">
        <v>6</v>
      </c>
      <c r="B45" s="46"/>
      <c r="C45" s="49"/>
      <c r="F45" s="49">
        <f aca="true" t="shared" si="8" ref="F45:Q45">F44/12</f>
        <v>0</v>
      </c>
      <c r="G45" s="49">
        <f t="shared" si="8"/>
        <v>0</v>
      </c>
      <c r="H45" s="49">
        <f t="shared" si="8"/>
        <v>0</v>
      </c>
      <c r="I45" s="49">
        <f t="shared" si="8"/>
        <v>0.05589496248660236</v>
      </c>
      <c r="J45" s="49">
        <f t="shared" si="8"/>
        <v>0.1725756966773848</v>
      </c>
      <c r="K45" s="49">
        <f t="shared" si="8"/>
        <v>0.271789255091104</v>
      </c>
      <c r="L45" s="49">
        <f t="shared" si="8"/>
        <v>0.05589496248660236</v>
      </c>
      <c r="M45" s="49">
        <f t="shared" si="8"/>
        <v>0.13624397106109326</v>
      </c>
      <c r="N45" s="49">
        <f t="shared" si="8"/>
        <v>0.1138859860664523</v>
      </c>
      <c r="O45" s="49">
        <f t="shared" si="8"/>
        <v>0.06218314576634513</v>
      </c>
      <c r="P45" s="49">
        <f t="shared" si="8"/>
        <v>0.0006986870310825296</v>
      </c>
      <c r="Q45" s="49">
        <f t="shared" si="8"/>
        <v>0</v>
      </c>
      <c r="R45" s="49">
        <f>SUM(F45:Q45)</f>
        <v>0.8691666666666666</v>
      </c>
      <c r="U45" s="112"/>
      <c r="V45" s="49"/>
      <c r="W45" s="49"/>
      <c r="X45" s="49"/>
      <c r="Y45" s="52"/>
      <c r="Z45" s="49"/>
      <c r="AA45" s="49"/>
      <c r="AB45" s="49"/>
      <c r="AC45" s="49"/>
      <c r="AD45" s="49"/>
      <c r="AE45" s="52"/>
      <c r="AF45" s="49"/>
      <c r="AG45" s="49"/>
    </row>
    <row r="51" spans="1:2" ht="15.75">
      <c r="A51" s="178"/>
      <c r="B51" s="112"/>
    </row>
    <row r="52" spans="1:2" ht="15.75">
      <c r="A52" s="51"/>
      <c r="B52" s="112"/>
    </row>
    <row r="53" spans="1:2" ht="15.75">
      <c r="A53" s="51"/>
      <c r="B53" s="112"/>
    </row>
    <row r="54" spans="1:2" ht="15.75">
      <c r="A54" s="51"/>
      <c r="B54" s="112"/>
    </row>
    <row r="55" spans="1:2" ht="15.75">
      <c r="A55" s="51"/>
      <c r="B55" s="112"/>
    </row>
    <row r="56" spans="1:2" ht="15.75">
      <c r="A56" s="51"/>
      <c r="B56" s="112"/>
    </row>
    <row r="57" spans="1:2" ht="15.75">
      <c r="A57" s="51"/>
      <c r="B57" s="112"/>
    </row>
    <row r="58" spans="1:2" ht="15.75">
      <c r="A58" s="51"/>
      <c r="B58" s="112"/>
    </row>
    <row r="59" spans="1:2" ht="15.75">
      <c r="A59" s="51"/>
      <c r="B59" s="112"/>
    </row>
    <row r="60" spans="1:2" ht="15.75">
      <c r="A60" s="51"/>
      <c r="B60" s="112"/>
    </row>
    <row r="61" spans="1:2" ht="15.75">
      <c r="A61" s="51"/>
      <c r="B61" s="112"/>
    </row>
    <row r="62" spans="1:2" ht="15.75">
      <c r="A62" s="108"/>
      <c r="B62" s="112"/>
    </row>
  </sheetData>
  <sheetProtection password="CC93" sheet="1" objects="1" scenarios="1"/>
  <mergeCells count="11">
    <mergeCell ref="AP6:AT6"/>
    <mergeCell ref="A3:C3"/>
    <mergeCell ref="E6:J6"/>
    <mergeCell ref="L6:P6"/>
    <mergeCell ref="R6:V6"/>
    <mergeCell ref="F26:K26"/>
    <mergeCell ref="L26:Q26"/>
    <mergeCell ref="S26:X26"/>
    <mergeCell ref="X6:AB6"/>
    <mergeCell ref="AD6:AH6"/>
    <mergeCell ref="AJ6:AN6"/>
  </mergeCells>
  <printOptions gridLines="1" horizontalCentered="1"/>
  <pageMargins left="0.75" right="0.25" top="0.75" bottom="0.75" header="0.5" footer="0.5"/>
  <pageSetup fitToHeight="1" fitToWidth="1" horizontalDpi="600" verticalDpi="600" orientation="landscape" paperSize="17" scale="74" r:id="rId3"/>
  <headerFooter alignWithMargins="0">
    <oddHeader>&amp;L&amp;D</oddHeader>
    <oddFooter>&amp;L&amp;F&amp;R&amp;A</oddFooter>
  </headerFooter>
  <colBreaks count="1" manualBreakCount="1">
    <brk id="46" max="6553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63"/>
  <sheetViews>
    <sheetView zoomScale="75" zoomScaleNormal="75" zoomScaleSheetLayoutView="75" zoomScalePageLayoutView="0" workbookViewId="0" topLeftCell="A1">
      <selection activeCell="A7" sqref="A7"/>
    </sheetView>
  </sheetViews>
  <sheetFormatPr defaultColWidth="9.140625" defaultRowHeight="12.75"/>
  <cols>
    <col min="1" max="1" width="28.28125" style="110" customWidth="1"/>
    <col min="2" max="34" width="10.57421875" style="110" customWidth="1"/>
    <col min="35" max="35" width="5.7109375" style="110" customWidth="1"/>
    <col min="36" max="36" width="7.140625" style="110" bestFit="1" customWidth="1"/>
    <col min="37" max="37" width="8.7109375" style="110" customWidth="1"/>
    <col min="38" max="38" width="8.7109375" style="110" bestFit="1" customWidth="1"/>
    <col min="39" max="39" width="8.57421875" style="110" bestFit="1" customWidth="1"/>
    <col min="40" max="40" width="9.00390625" style="110" customWidth="1"/>
    <col min="41" max="207" width="9.7109375" style="110" customWidth="1"/>
    <col min="208" max="16384" width="9.140625" style="110" customWidth="1"/>
  </cols>
  <sheetData>
    <row r="1" spans="1:33" ht="18">
      <c r="A1" s="59" t="s">
        <v>270</v>
      </c>
      <c r="B1" s="49" t="s">
        <v>266</v>
      </c>
      <c r="C1" s="49"/>
      <c r="D1" s="49"/>
      <c r="E1" s="49"/>
      <c r="F1" s="49"/>
      <c r="G1" s="52"/>
      <c r="H1" s="49"/>
      <c r="I1" s="49"/>
      <c r="J1" s="49"/>
      <c r="K1" s="49"/>
      <c r="L1" s="49"/>
      <c r="M1" s="52"/>
      <c r="O1" s="46"/>
      <c r="P1" s="46"/>
      <c r="Q1" s="46"/>
      <c r="R1" s="49"/>
      <c r="S1" s="52"/>
      <c r="T1" s="49"/>
      <c r="U1" s="49"/>
      <c r="V1" s="49"/>
      <c r="W1" s="49"/>
      <c r="X1" s="49"/>
      <c r="Y1" s="52"/>
      <c r="Z1" s="49"/>
      <c r="AA1" s="49"/>
      <c r="AB1" s="49"/>
      <c r="AC1" s="49"/>
      <c r="AD1" s="49"/>
      <c r="AE1" s="52"/>
      <c r="AF1" s="49"/>
      <c r="AG1" s="49"/>
    </row>
    <row r="2" spans="1:45" s="112" customFormat="1" ht="16.5" customHeight="1">
      <c r="A2" s="46" t="s">
        <v>264</v>
      </c>
      <c r="B2" s="46"/>
      <c r="C2" s="128"/>
      <c r="D2" s="123"/>
      <c r="E2" s="123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61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</row>
    <row r="3" spans="1:25" s="56" customFormat="1" ht="20.25" customHeight="1">
      <c r="A3" s="392" t="s">
        <v>168</v>
      </c>
      <c r="B3" s="392"/>
      <c r="C3" s="393"/>
      <c r="D3" s="44" t="s">
        <v>11</v>
      </c>
      <c r="E3" s="56" t="s">
        <v>169</v>
      </c>
      <c r="J3" s="42"/>
      <c r="O3" s="42"/>
      <c r="T3" s="42"/>
      <c r="Y3" s="42"/>
    </row>
    <row r="4" spans="1:33" ht="18">
      <c r="A4" s="117" t="s">
        <v>210</v>
      </c>
      <c r="B4" s="117"/>
      <c r="C4" s="112"/>
      <c r="F4" s="46"/>
      <c r="G4" s="50"/>
      <c r="H4" s="46"/>
      <c r="I4" s="46"/>
      <c r="J4" s="46"/>
      <c r="K4" s="46"/>
      <c r="L4" s="46"/>
      <c r="M4" s="50"/>
      <c r="N4" s="46"/>
      <c r="O4" s="46"/>
      <c r="P4" s="46"/>
      <c r="Q4" s="46"/>
      <c r="R4" s="46"/>
      <c r="S4" s="50"/>
      <c r="T4" s="46"/>
      <c r="U4" s="46"/>
      <c r="V4" s="49"/>
      <c r="W4" s="49"/>
      <c r="X4" s="49"/>
      <c r="Y4" s="52"/>
      <c r="Z4" s="46"/>
      <c r="AG4" s="49"/>
    </row>
    <row r="5" spans="1:41" s="61" customFormat="1" ht="18">
      <c r="A5" s="133" t="s">
        <v>194</v>
      </c>
      <c r="B5" s="133"/>
      <c r="C5" s="111"/>
      <c r="D5" s="111"/>
      <c r="E5" s="111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19"/>
      <c r="AH5" s="111"/>
      <c r="AI5" s="111"/>
      <c r="AJ5" s="111"/>
      <c r="AK5" s="111"/>
      <c r="AL5" s="111"/>
      <c r="AM5" s="111"/>
      <c r="AN5" s="111"/>
      <c r="AO5" s="111"/>
    </row>
    <row r="6" spans="1:49" s="49" customFormat="1" ht="15.75" customHeight="1">
      <c r="A6" s="50"/>
      <c r="B6" s="50"/>
      <c r="D6" s="50"/>
      <c r="E6" s="390" t="s">
        <v>213</v>
      </c>
      <c r="F6" s="391"/>
      <c r="G6" s="391"/>
      <c r="H6" s="391"/>
      <c r="I6" s="391"/>
      <c r="J6" s="391"/>
      <c r="K6" s="394" t="s">
        <v>214</v>
      </c>
      <c r="L6" s="394"/>
      <c r="M6" s="394"/>
      <c r="N6" s="394"/>
      <c r="O6" s="394"/>
      <c r="P6" s="394"/>
      <c r="Q6" s="395" t="s">
        <v>215</v>
      </c>
      <c r="R6" s="395"/>
      <c r="S6" s="395"/>
      <c r="T6" s="395"/>
      <c r="U6" s="395"/>
      <c r="V6" s="395"/>
      <c r="W6" s="394" t="s">
        <v>216</v>
      </c>
      <c r="X6" s="394"/>
      <c r="Y6" s="394"/>
      <c r="Z6" s="394"/>
      <c r="AA6" s="394"/>
      <c r="AB6" s="394"/>
      <c r="AC6" s="395" t="s">
        <v>308</v>
      </c>
      <c r="AD6" s="395"/>
      <c r="AE6" s="395"/>
      <c r="AF6" s="395"/>
      <c r="AG6" s="395"/>
      <c r="AH6" s="395"/>
      <c r="AI6" s="73"/>
      <c r="AJ6" s="387"/>
      <c r="AK6" s="388"/>
      <c r="AL6" s="388"/>
      <c r="AM6" s="388"/>
      <c r="AN6" s="388"/>
      <c r="AO6" s="132"/>
      <c r="AP6" s="132"/>
      <c r="AQ6" s="132"/>
      <c r="AR6" s="61"/>
      <c r="AS6" s="61"/>
      <c r="AT6" s="61"/>
      <c r="AU6" s="61"/>
      <c r="AV6" s="61"/>
      <c r="AW6" s="61"/>
    </row>
    <row r="7" spans="6:44" s="122" customFormat="1" ht="15">
      <c r="F7" s="338">
        <v>1.34</v>
      </c>
      <c r="G7" s="115" t="s">
        <v>191</v>
      </c>
      <c r="H7" s="115"/>
      <c r="I7" s="115"/>
      <c r="L7" s="338">
        <v>1.25</v>
      </c>
      <c r="M7" s="115" t="s">
        <v>191</v>
      </c>
      <c r="N7" s="115"/>
      <c r="O7" s="115"/>
      <c r="R7" s="338">
        <v>0</v>
      </c>
      <c r="S7" s="115" t="s">
        <v>191</v>
      </c>
      <c r="T7" s="115"/>
      <c r="U7" s="115"/>
      <c r="X7" s="338">
        <v>0</v>
      </c>
      <c r="Y7" s="112" t="s">
        <v>347</v>
      </c>
      <c r="Z7" s="115"/>
      <c r="AA7" s="115"/>
      <c r="AD7" s="338">
        <v>0</v>
      </c>
      <c r="AE7" s="115" t="s">
        <v>191</v>
      </c>
      <c r="AF7" s="115"/>
      <c r="AG7" s="115"/>
      <c r="AJ7" s="54"/>
      <c r="AK7" s="115"/>
      <c r="AL7" s="115"/>
      <c r="AM7" s="115"/>
      <c r="AO7" s="54"/>
      <c r="AP7" s="115"/>
      <c r="AQ7" s="115"/>
      <c r="AR7" s="115"/>
    </row>
    <row r="8" spans="6:44" s="122" customFormat="1" ht="15">
      <c r="F8" s="54">
        <v>0</v>
      </c>
      <c r="G8" s="115" t="s">
        <v>212</v>
      </c>
      <c r="H8" s="115"/>
      <c r="I8" s="115"/>
      <c r="L8" s="54">
        <v>0</v>
      </c>
      <c r="M8" s="115" t="s">
        <v>212</v>
      </c>
      <c r="N8" s="115"/>
      <c r="O8" s="115"/>
      <c r="R8" s="54">
        <v>0</v>
      </c>
      <c r="S8" s="115" t="s">
        <v>212</v>
      </c>
      <c r="T8" s="115"/>
      <c r="U8" s="115"/>
      <c r="X8" s="54">
        <v>0</v>
      </c>
      <c r="Y8" s="115" t="s">
        <v>212</v>
      </c>
      <c r="Z8" s="115"/>
      <c r="AA8" s="115"/>
      <c r="AD8" s="54">
        <v>0</v>
      </c>
      <c r="AE8" s="115" t="s">
        <v>212</v>
      </c>
      <c r="AF8" s="115"/>
      <c r="AG8" s="115"/>
      <c r="AJ8" s="54"/>
      <c r="AK8" s="115"/>
      <c r="AL8" s="115"/>
      <c r="AM8" s="115"/>
      <c r="AO8" s="54"/>
      <c r="AP8" s="112"/>
      <c r="AQ8" s="115"/>
      <c r="AR8" s="115"/>
    </row>
    <row r="9" spans="3:31" s="112" customFormat="1" ht="15">
      <c r="C9" s="130"/>
      <c r="D9" s="49"/>
      <c r="E9" s="49"/>
      <c r="F9" s="341">
        <v>68.05</v>
      </c>
      <c r="G9" s="112" t="s">
        <v>200</v>
      </c>
      <c r="J9" s="49"/>
      <c r="K9" s="49"/>
      <c r="L9" s="324">
        <v>32.8</v>
      </c>
      <c r="M9" s="112" t="s">
        <v>200</v>
      </c>
      <c r="P9" s="49"/>
      <c r="Q9" s="49"/>
      <c r="R9" s="341">
        <v>19.33</v>
      </c>
      <c r="S9" s="112" t="s">
        <v>200</v>
      </c>
      <c r="V9" s="49"/>
      <c r="W9" s="49"/>
      <c r="X9" s="341">
        <v>0</v>
      </c>
      <c r="Y9" s="112" t="s">
        <v>200</v>
      </c>
      <c r="AB9" s="49"/>
      <c r="AC9" s="49"/>
      <c r="AD9" s="341">
        <v>0</v>
      </c>
      <c r="AE9" s="112" t="s">
        <v>200</v>
      </c>
    </row>
    <row r="10" spans="3:37" s="112" customFormat="1" ht="15">
      <c r="C10" s="130"/>
      <c r="F10" s="54">
        <f>SUM(F7:F9)</f>
        <v>69.39</v>
      </c>
      <c r="G10" s="49" t="s">
        <v>201</v>
      </c>
      <c r="H10" s="49"/>
      <c r="I10" s="49"/>
      <c r="L10" s="54">
        <f>SUM(L7:L9)</f>
        <v>34.05</v>
      </c>
      <c r="M10" s="49" t="s">
        <v>201</v>
      </c>
      <c r="N10" s="49"/>
      <c r="O10" s="49"/>
      <c r="R10" s="54">
        <f>SUM(R7:R9)</f>
        <v>19.33</v>
      </c>
      <c r="S10" s="49" t="s">
        <v>201</v>
      </c>
      <c r="T10" s="49"/>
      <c r="U10" s="49"/>
      <c r="X10" s="54">
        <f>SUM(X7:X9)</f>
        <v>0</v>
      </c>
      <c r="Y10" s="49" t="s">
        <v>201</v>
      </c>
      <c r="Z10" s="49"/>
      <c r="AA10" s="49"/>
      <c r="AD10" s="54">
        <f>SUM(AD7:AD9)</f>
        <v>0</v>
      </c>
      <c r="AE10" s="49" t="s">
        <v>201</v>
      </c>
      <c r="AF10" s="49"/>
      <c r="AJ10" s="54"/>
      <c r="AK10" s="49"/>
    </row>
    <row r="11" spans="1:45" s="127" customFormat="1" ht="93.75" customHeight="1">
      <c r="A11" s="125" t="s">
        <v>88</v>
      </c>
      <c r="B11" s="50" t="s">
        <v>265</v>
      </c>
      <c r="C11" s="124" t="s">
        <v>206</v>
      </c>
      <c r="D11" s="126" t="s">
        <v>196</v>
      </c>
      <c r="E11" s="125" t="s">
        <v>19</v>
      </c>
      <c r="F11" s="126" t="s">
        <v>362</v>
      </c>
      <c r="G11" s="126" t="s">
        <v>217</v>
      </c>
      <c r="H11" s="126" t="s">
        <v>192</v>
      </c>
      <c r="I11" s="126" t="s">
        <v>195</v>
      </c>
      <c r="J11" s="124" t="s">
        <v>297</v>
      </c>
      <c r="K11" s="125" t="s">
        <v>19</v>
      </c>
      <c r="L11" s="126" t="s">
        <v>362</v>
      </c>
      <c r="M11" s="126" t="s">
        <v>217</v>
      </c>
      <c r="N11" s="126" t="s">
        <v>192</v>
      </c>
      <c r="O11" s="126" t="s">
        <v>195</v>
      </c>
      <c r="P11" s="124" t="s">
        <v>297</v>
      </c>
      <c r="Q11" s="125" t="s">
        <v>19</v>
      </c>
      <c r="R11" s="126" t="s">
        <v>362</v>
      </c>
      <c r="S11" s="126" t="s">
        <v>217</v>
      </c>
      <c r="T11" s="126" t="s">
        <v>192</v>
      </c>
      <c r="U11" s="126" t="s">
        <v>195</v>
      </c>
      <c r="V11" s="124" t="s">
        <v>297</v>
      </c>
      <c r="W11" s="125" t="s">
        <v>19</v>
      </c>
      <c r="X11" s="126" t="s">
        <v>362</v>
      </c>
      <c r="Y11" s="126" t="s">
        <v>217</v>
      </c>
      <c r="Z11" s="126" t="s">
        <v>192</v>
      </c>
      <c r="AA11" s="126" t="s">
        <v>195</v>
      </c>
      <c r="AB11" s="124" t="s">
        <v>297</v>
      </c>
      <c r="AC11" s="125" t="s">
        <v>19</v>
      </c>
      <c r="AD11" s="126" t="s">
        <v>362</v>
      </c>
      <c r="AE11" s="126" t="s">
        <v>217</v>
      </c>
      <c r="AF11" s="126" t="s">
        <v>192</v>
      </c>
      <c r="AG11" s="126" t="s">
        <v>195</v>
      </c>
      <c r="AH11" s="124" t="s">
        <v>297</v>
      </c>
      <c r="AI11" s="125"/>
      <c r="AJ11" s="126"/>
      <c r="AK11" s="126"/>
      <c r="AL11" s="126"/>
      <c r="AM11" s="126"/>
      <c r="AN11" s="124"/>
      <c r="AO11" s="126"/>
      <c r="AP11" s="126"/>
      <c r="AQ11" s="126"/>
      <c r="AR11" s="126"/>
      <c r="AS11" s="124"/>
    </row>
    <row r="12" spans="1:45" s="127" customFormat="1" ht="15.75" customHeight="1">
      <c r="A12" s="55" t="s">
        <v>180</v>
      </c>
      <c r="B12" s="54">
        <f>F46/$D$3</f>
        <v>0</v>
      </c>
      <c r="C12" s="179">
        <f>1.49/12</f>
        <v>0.12416666666666666</v>
      </c>
      <c r="D12" s="338">
        <f>0/12</f>
        <v>0</v>
      </c>
      <c r="E12" s="126"/>
      <c r="F12" s="54">
        <f>$F$7*(IF($C12-$D12&lt;0,0,ABS($C12-$D12)))</f>
        <v>0.16638333333333333</v>
      </c>
      <c r="G12" s="54">
        <f>F12/$D$3</f>
        <v>0.5546111111111112</v>
      </c>
      <c r="H12" s="49">
        <f>F$9*$B12</f>
        <v>0</v>
      </c>
      <c r="I12" s="54">
        <f>G12+H12</f>
        <v>0.5546111111111112</v>
      </c>
      <c r="J12" s="338">
        <v>0</v>
      </c>
      <c r="K12" s="50"/>
      <c r="L12" s="54">
        <f aca="true" t="shared" si="0" ref="L12:L23">$L$7*(IF($C12-$D12&lt;0,0,ABS($C12-$D12)))</f>
        <v>0.15520833333333334</v>
      </c>
      <c r="M12" s="54">
        <f>L12/$D$3</f>
        <v>0.5173611111111112</v>
      </c>
      <c r="N12" s="49">
        <f>L$9*$B12</f>
        <v>0</v>
      </c>
      <c r="O12" s="54">
        <f>M12+N12</f>
        <v>0.5173611111111112</v>
      </c>
      <c r="P12" s="338">
        <v>0</v>
      </c>
      <c r="Q12" s="50"/>
      <c r="R12" s="54">
        <f>R$7*(IF($C12-$D12&lt;0,0,ABS($C12-$D12)))</f>
        <v>0</v>
      </c>
      <c r="S12" s="54">
        <f>R12/$D$3</f>
        <v>0</v>
      </c>
      <c r="T12" s="49">
        <f>R$9*$B12</f>
        <v>0</v>
      </c>
      <c r="U12" s="54">
        <f>S12+T12</f>
        <v>0</v>
      </c>
      <c r="V12" s="54">
        <f>IF(Q12-U12&gt;0,0,ABS(Q12-U12))</f>
        <v>0</v>
      </c>
      <c r="W12" s="50"/>
      <c r="X12" s="54">
        <f aca="true" t="shared" si="1" ref="X12:X23">$X$7*(IF($C12-$D12&lt;0,0,ABS($C12-$D12)))</f>
        <v>0</v>
      </c>
      <c r="Y12" s="54">
        <f>X12/$D$3</f>
        <v>0</v>
      </c>
      <c r="Z12" s="49">
        <f>X$9*$B12</f>
        <v>0</v>
      </c>
      <c r="AA12" s="54">
        <f>Y12+Z12</f>
        <v>0</v>
      </c>
      <c r="AB12" s="338">
        <v>0</v>
      </c>
      <c r="AC12" s="50"/>
      <c r="AD12" s="54">
        <f>$AD$7*(IF($C12-$D12&lt;0,0,ABS($C12-$D12)))</f>
        <v>0</v>
      </c>
      <c r="AE12" s="54">
        <f>AD12/$D$3</f>
        <v>0</v>
      </c>
      <c r="AF12" s="49">
        <f>AD$9*$B12</f>
        <v>0</v>
      </c>
      <c r="AG12" s="54">
        <f>AE12+AF12</f>
        <v>0</v>
      </c>
      <c r="AH12" s="54">
        <f aca="true" t="shared" si="2" ref="AH12:AH23">IF(AC12-AG12&gt;0,0,ABS(AC12-AG12))</f>
        <v>0</v>
      </c>
      <c r="AI12" s="50"/>
      <c r="AJ12" s="54"/>
      <c r="AK12" s="126"/>
      <c r="AL12" s="126"/>
      <c r="AM12" s="126"/>
      <c r="AN12" s="124"/>
      <c r="AO12" s="126"/>
      <c r="AP12" s="126"/>
      <c r="AQ12" s="126"/>
      <c r="AR12" s="126"/>
      <c r="AS12" s="124"/>
    </row>
    <row r="13" spans="1:45" s="112" customFormat="1" ht="15.75">
      <c r="A13" s="55" t="s">
        <v>21</v>
      </c>
      <c r="B13" s="51">
        <f>G46/$D$3</f>
        <v>0</v>
      </c>
      <c r="C13" s="108">
        <f>1.97/12</f>
        <v>0.16416666666666666</v>
      </c>
      <c r="D13" s="324">
        <f>0.14/12</f>
        <v>0.011666666666666667</v>
      </c>
      <c r="E13" s="54"/>
      <c r="F13" s="54">
        <f aca="true" t="shared" si="3" ref="F13:F23">$F$7*(IF($C13-$D13&lt;0,0,ABS($C13-$D13)))</f>
        <v>0.20435</v>
      </c>
      <c r="G13" s="54">
        <f>F13/$D$3</f>
        <v>0.6811666666666667</v>
      </c>
      <c r="H13" s="49">
        <f>F$9*$B13</f>
        <v>0</v>
      </c>
      <c r="I13" s="54">
        <f aca="true" t="shared" si="4" ref="I13:I22">G13+H13</f>
        <v>0.6811666666666667</v>
      </c>
      <c r="J13" s="338">
        <v>0</v>
      </c>
      <c r="K13" s="49"/>
      <c r="L13" s="54">
        <f t="shared" si="0"/>
        <v>0.190625</v>
      </c>
      <c r="M13" s="54">
        <f>L13/$D$3</f>
        <v>0.6354166666666666</v>
      </c>
      <c r="N13" s="49">
        <f>L$9*$B13</f>
        <v>0</v>
      </c>
      <c r="O13" s="54">
        <f aca="true" t="shared" si="5" ref="O13:O22">M13+N13</f>
        <v>0.6354166666666666</v>
      </c>
      <c r="P13" s="338">
        <v>0</v>
      </c>
      <c r="Q13" s="49"/>
      <c r="R13" s="54">
        <f>R$7*(IF($C13-$D13&lt;0,0,ABS($C13-$D13)))</f>
        <v>0</v>
      </c>
      <c r="S13" s="54">
        <f>R13/$D$3</f>
        <v>0</v>
      </c>
      <c r="T13" s="49">
        <f aca="true" t="shared" si="6" ref="T13:T22">R$9*$B13</f>
        <v>0</v>
      </c>
      <c r="U13" s="54">
        <f aca="true" t="shared" si="7" ref="U13:U22">S13+T13</f>
        <v>0</v>
      </c>
      <c r="V13" s="54">
        <f>IF(Q13-U13&gt;0,0,ABS(Q13-U13))</f>
        <v>0</v>
      </c>
      <c r="W13" s="49"/>
      <c r="X13" s="54">
        <f t="shared" si="1"/>
        <v>0</v>
      </c>
      <c r="Y13" s="54">
        <f>X13/$D$3</f>
        <v>0</v>
      </c>
      <c r="Z13" s="49">
        <f aca="true" t="shared" si="8" ref="Z13:Z22">X$9*$B13</f>
        <v>0</v>
      </c>
      <c r="AA13" s="54">
        <f aca="true" t="shared" si="9" ref="AA13:AA22">Y13+Z13</f>
        <v>0</v>
      </c>
      <c r="AB13" s="338">
        <v>0</v>
      </c>
      <c r="AC13" s="49"/>
      <c r="AD13" s="54">
        <f aca="true" t="shared" si="10" ref="AD13:AD23">$AD$7*(IF($C13-$D13&lt;0,0,ABS($C13-$D13)))</f>
        <v>0</v>
      </c>
      <c r="AE13" s="54">
        <f>AD13/$D$3</f>
        <v>0</v>
      </c>
      <c r="AF13" s="49">
        <f aca="true" t="shared" si="11" ref="AF13:AF22">AD$9*$B13</f>
        <v>0</v>
      </c>
      <c r="AG13" s="54">
        <f aca="true" t="shared" si="12" ref="AG13:AG22">AE13+AF13</f>
        <v>0</v>
      </c>
      <c r="AH13" s="54">
        <f t="shared" si="2"/>
        <v>0</v>
      </c>
      <c r="AI13" s="131"/>
      <c r="AJ13" s="54"/>
      <c r="AK13" s="54"/>
      <c r="AL13" s="49"/>
      <c r="AM13" s="54"/>
      <c r="AN13" s="54"/>
      <c r="AO13" s="54"/>
      <c r="AP13" s="54"/>
      <c r="AQ13" s="121"/>
      <c r="AR13" s="54"/>
      <c r="AS13" s="54"/>
    </row>
    <row r="14" spans="1:45" s="112" customFormat="1" ht="15.75">
      <c r="A14" s="55" t="s">
        <v>20</v>
      </c>
      <c r="B14" s="51">
        <f>H46/$D$3</f>
        <v>0</v>
      </c>
      <c r="C14" s="108">
        <f>4.13/12</f>
        <v>0.3441666666666667</v>
      </c>
      <c r="D14" s="324">
        <f>1.05/12</f>
        <v>0.08750000000000001</v>
      </c>
      <c r="E14" s="323">
        <v>0</v>
      </c>
      <c r="F14" s="54">
        <f t="shared" si="3"/>
        <v>0.3439333333333333</v>
      </c>
      <c r="G14" s="54">
        <f aca="true" t="shared" si="13" ref="G14:G22">F14/$D$3</f>
        <v>1.1464444444444444</v>
      </c>
      <c r="H14" s="49">
        <f>F$9*$B14</f>
        <v>0</v>
      </c>
      <c r="I14" s="54">
        <f t="shared" si="4"/>
        <v>1.1464444444444444</v>
      </c>
      <c r="J14" s="338">
        <v>0</v>
      </c>
      <c r="K14" s="335">
        <v>27.188735272760425</v>
      </c>
      <c r="L14" s="54">
        <f t="shared" si="0"/>
        <v>0.3208333333333333</v>
      </c>
      <c r="M14" s="54">
        <f aca="true" t="shared" si="14" ref="M14:M22">L14/$D$3</f>
        <v>1.0694444444444444</v>
      </c>
      <c r="N14" s="49">
        <f>L$9*$B14</f>
        <v>0</v>
      </c>
      <c r="O14" s="54">
        <f t="shared" si="5"/>
        <v>1.0694444444444444</v>
      </c>
      <c r="P14" s="54">
        <f>IF(K14-O14&gt;0,0,ABS(K14-O14))</f>
        <v>0</v>
      </c>
      <c r="Q14" s="323">
        <v>86.46707268648782</v>
      </c>
      <c r="R14" s="54">
        <f>R$7*(IF($C14-$D14&lt;0,0,ABS($C14-$D14)))</f>
        <v>0</v>
      </c>
      <c r="S14" s="54">
        <f aca="true" t="shared" si="15" ref="S14:S22">R14/$D$3</f>
        <v>0</v>
      </c>
      <c r="T14" s="49">
        <f t="shared" si="6"/>
        <v>0</v>
      </c>
      <c r="U14" s="54">
        <f t="shared" si="7"/>
        <v>0</v>
      </c>
      <c r="V14" s="54">
        <f>IF(Q14-U14&gt;0,0,ABS(Q14-U14))</f>
        <v>0</v>
      </c>
      <c r="W14" s="323">
        <v>15.373339260700106</v>
      </c>
      <c r="X14" s="54">
        <f t="shared" si="1"/>
        <v>0</v>
      </c>
      <c r="Y14" s="54">
        <f aca="true" t="shared" si="16" ref="Y14:Y22">X14/$D$3</f>
        <v>0</v>
      </c>
      <c r="Z14" s="49">
        <f t="shared" si="8"/>
        <v>0</v>
      </c>
      <c r="AA14" s="54">
        <f t="shared" si="9"/>
        <v>0</v>
      </c>
      <c r="AB14" s="54">
        <f aca="true" t="shared" si="17" ref="AB14:AB22">IF(W14-AA14&gt;0,0,ABS(W14-AA14))</f>
        <v>0</v>
      </c>
      <c r="AC14" s="323">
        <v>3.8882623566666656</v>
      </c>
      <c r="AD14" s="54">
        <f t="shared" si="10"/>
        <v>0</v>
      </c>
      <c r="AE14" s="54">
        <f aca="true" t="shared" si="18" ref="AE14:AE22">AD14/$D$3</f>
        <v>0</v>
      </c>
      <c r="AF14" s="49">
        <f t="shared" si="11"/>
        <v>0</v>
      </c>
      <c r="AG14" s="54">
        <f t="shared" si="12"/>
        <v>0</v>
      </c>
      <c r="AH14" s="54">
        <f t="shared" si="2"/>
        <v>0</v>
      </c>
      <c r="AI14" s="131"/>
      <c r="AJ14" s="54"/>
      <c r="AK14" s="54"/>
      <c r="AL14" s="49"/>
      <c r="AM14" s="54"/>
      <c r="AN14" s="54"/>
      <c r="AO14" s="54"/>
      <c r="AP14" s="54"/>
      <c r="AQ14" s="121"/>
      <c r="AR14" s="54"/>
      <c r="AS14" s="54"/>
    </row>
    <row r="15" spans="1:45" s="112" customFormat="1" ht="15.75">
      <c r="A15" s="55" t="s">
        <v>22</v>
      </c>
      <c r="B15" s="51">
        <f>I46/$D$3</f>
        <v>0.20831114660986869</v>
      </c>
      <c r="C15" s="108">
        <f>5.38/12</f>
        <v>0.4483333333333333</v>
      </c>
      <c r="D15" s="324">
        <f>0.45/12</f>
        <v>0.0375</v>
      </c>
      <c r="E15" s="324">
        <v>0</v>
      </c>
      <c r="F15" s="54">
        <f>$F$7*(IF($C15-$D15&lt;0,0,ABS($C15-$D15)))</f>
        <v>0.5505166666666667</v>
      </c>
      <c r="G15" s="54">
        <f t="shared" si="13"/>
        <v>1.8350555555555557</v>
      </c>
      <c r="H15" s="49">
        <f aca="true" t="shared" si="19" ref="H15:H22">F$9*$B15</f>
        <v>14.175573526801564</v>
      </c>
      <c r="I15" s="54">
        <f t="shared" si="4"/>
        <v>16.01062908235712</v>
      </c>
      <c r="J15" s="54">
        <f aca="true" t="shared" si="20" ref="J15:J22">IF(E15-I15&gt;0,0,ABS(E15-I15))</f>
        <v>16.01062908235712</v>
      </c>
      <c r="K15" s="324">
        <v>58.69071201083333</v>
      </c>
      <c r="L15" s="54">
        <f t="shared" si="0"/>
        <v>0.5135416666666667</v>
      </c>
      <c r="M15" s="54">
        <f t="shared" si="14"/>
        <v>1.7118055555555556</v>
      </c>
      <c r="N15" s="49">
        <f aca="true" t="shared" si="21" ref="N15:N22">L$9*$B15</f>
        <v>6.832605608803692</v>
      </c>
      <c r="O15" s="54">
        <f t="shared" si="5"/>
        <v>8.544411164359248</v>
      </c>
      <c r="P15" s="54">
        <f aca="true" t="shared" si="22" ref="P15:P22">IF(K15-O15&gt;0,0,ABS(K15-O15))</f>
        <v>0</v>
      </c>
      <c r="Q15" s="324">
        <v>82.11494361461865</v>
      </c>
      <c r="R15" s="54">
        <f aca="true" t="shared" si="23" ref="R15:R22">R$7*(IF($C15-$D15&lt;0,0,ABS($C15-$D15)))</f>
        <v>0</v>
      </c>
      <c r="S15" s="54">
        <f t="shared" si="15"/>
        <v>0</v>
      </c>
      <c r="T15" s="49">
        <f t="shared" si="6"/>
        <v>4.026654463968761</v>
      </c>
      <c r="U15" s="54">
        <f t="shared" si="7"/>
        <v>4.026654463968761</v>
      </c>
      <c r="V15" s="54">
        <f aca="true" t="shared" si="24" ref="V15:V22">IF(Q15-U15&gt;0,0,ABS(Q15-U15))</f>
        <v>0</v>
      </c>
      <c r="W15" s="324">
        <v>0</v>
      </c>
      <c r="X15" s="54">
        <f t="shared" si="1"/>
        <v>0</v>
      </c>
      <c r="Y15" s="54">
        <f t="shared" si="16"/>
        <v>0</v>
      </c>
      <c r="Z15" s="49">
        <f t="shared" si="8"/>
        <v>0</v>
      </c>
      <c r="AA15" s="54">
        <f t="shared" si="9"/>
        <v>0</v>
      </c>
      <c r="AB15" s="54">
        <f t="shared" si="17"/>
        <v>0</v>
      </c>
      <c r="AC15" s="324">
        <v>0</v>
      </c>
      <c r="AD15" s="54">
        <f t="shared" si="10"/>
        <v>0</v>
      </c>
      <c r="AE15" s="54">
        <f t="shared" si="18"/>
        <v>0</v>
      </c>
      <c r="AF15" s="49">
        <f t="shared" si="11"/>
        <v>0</v>
      </c>
      <c r="AG15" s="54">
        <f t="shared" si="12"/>
        <v>0</v>
      </c>
      <c r="AH15" s="54">
        <f t="shared" si="2"/>
        <v>0</v>
      </c>
      <c r="AI15" s="131"/>
      <c r="AJ15" s="54"/>
      <c r="AK15" s="54"/>
      <c r="AL15" s="49"/>
      <c r="AM15" s="54"/>
      <c r="AN15" s="54"/>
      <c r="AO15" s="54"/>
      <c r="AP15" s="54"/>
      <c r="AQ15" s="121"/>
      <c r="AR15" s="54"/>
      <c r="AS15" s="54"/>
    </row>
    <row r="16" spans="1:45" s="112" customFormat="1" ht="15.75">
      <c r="A16" s="55" t="s">
        <v>23</v>
      </c>
      <c r="B16" s="51">
        <f>J46/$D$3</f>
        <v>0.6325545793397233</v>
      </c>
      <c r="C16" s="108">
        <f>6.19/12</f>
        <v>0.5158333333333334</v>
      </c>
      <c r="D16" s="324">
        <f>0/12</f>
        <v>0</v>
      </c>
      <c r="E16" s="324">
        <v>43.97717413257938</v>
      </c>
      <c r="F16" s="54">
        <f t="shared" si="3"/>
        <v>0.6912166666666667</v>
      </c>
      <c r="G16" s="54">
        <f t="shared" si="13"/>
        <v>2.3040555555555557</v>
      </c>
      <c r="H16" s="49">
        <f t="shared" si="19"/>
        <v>43.045339124068164</v>
      </c>
      <c r="I16" s="54">
        <f t="shared" si="4"/>
        <v>45.34939467962372</v>
      </c>
      <c r="J16" s="54">
        <f t="shared" si="20"/>
        <v>1.3722205470443427</v>
      </c>
      <c r="K16" s="324">
        <v>55.40515752858975</v>
      </c>
      <c r="L16" s="54">
        <f t="shared" si="0"/>
        <v>0.6447916666666667</v>
      </c>
      <c r="M16" s="54">
        <f t="shared" si="14"/>
        <v>2.149305555555556</v>
      </c>
      <c r="N16" s="49">
        <f t="shared" si="21"/>
        <v>20.74779020234292</v>
      </c>
      <c r="O16" s="54">
        <f t="shared" si="5"/>
        <v>22.897095757898477</v>
      </c>
      <c r="P16" s="54">
        <f t="shared" si="22"/>
        <v>0</v>
      </c>
      <c r="Q16" s="324">
        <v>77.0553301625</v>
      </c>
      <c r="R16" s="54">
        <f t="shared" si="23"/>
        <v>0</v>
      </c>
      <c r="S16" s="54">
        <f t="shared" si="15"/>
        <v>0</v>
      </c>
      <c r="T16" s="49">
        <f t="shared" si="6"/>
        <v>12.227280018636849</v>
      </c>
      <c r="U16" s="54">
        <f t="shared" si="7"/>
        <v>12.227280018636849</v>
      </c>
      <c r="V16" s="54">
        <f t="shared" si="24"/>
        <v>0</v>
      </c>
      <c r="W16" s="324">
        <v>0</v>
      </c>
      <c r="X16" s="54">
        <f t="shared" si="1"/>
        <v>0</v>
      </c>
      <c r="Y16" s="54">
        <f t="shared" si="16"/>
        <v>0</v>
      </c>
      <c r="Z16" s="49">
        <f t="shared" si="8"/>
        <v>0</v>
      </c>
      <c r="AA16" s="54">
        <f t="shared" si="9"/>
        <v>0</v>
      </c>
      <c r="AB16" s="54">
        <f t="shared" si="17"/>
        <v>0</v>
      </c>
      <c r="AC16" s="324">
        <v>0</v>
      </c>
      <c r="AD16" s="54">
        <f t="shared" si="10"/>
        <v>0</v>
      </c>
      <c r="AE16" s="54">
        <f t="shared" si="18"/>
        <v>0</v>
      </c>
      <c r="AF16" s="49">
        <f t="shared" si="11"/>
        <v>0</v>
      </c>
      <c r="AG16" s="54">
        <f t="shared" si="12"/>
        <v>0</v>
      </c>
      <c r="AH16" s="54">
        <f t="shared" si="2"/>
        <v>0</v>
      </c>
      <c r="AI16" s="131"/>
      <c r="AJ16" s="54"/>
      <c r="AK16" s="54"/>
      <c r="AL16" s="49"/>
      <c r="AM16" s="54"/>
      <c r="AN16" s="54"/>
      <c r="AO16" s="54"/>
      <c r="AP16" s="54"/>
      <c r="AQ16" s="121"/>
      <c r="AR16" s="54"/>
      <c r="AS16" s="54"/>
    </row>
    <row r="17" spans="1:45" s="112" customFormat="1" ht="15.75">
      <c r="A17" s="55" t="s">
        <v>24</v>
      </c>
      <c r="B17" s="51">
        <f>K46/$D$3</f>
        <v>0.9882077564785232</v>
      </c>
      <c r="C17" s="108">
        <f>7.39/12</f>
        <v>0.6158333333333333</v>
      </c>
      <c r="D17" s="324">
        <f>0.34/12</f>
        <v>0.028333333333333335</v>
      </c>
      <c r="E17" s="324">
        <v>61.93619185459572</v>
      </c>
      <c r="F17" s="54">
        <f t="shared" si="3"/>
        <v>0.7872500000000001</v>
      </c>
      <c r="G17" s="54">
        <f t="shared" si="13"/>
        <v>2.624166666666667</v>
      </c>
      <c r="H17" s="49">
        <f t="shared" si="19"/>
        <v>67.2475378283635</v>
      </c>
      <c r="I17" s="54">
        <f t="shared" si="4"/>
        <v>69.87170449503017</v>
      </c>
      <c r="J17" s="54">
        <f t="shared" si="20"/>
        <v>7.935512640434453</v>
      </c>
      <c r="K17" s="324">
        <v>48.86146113666667</v>
      </c>
      <c r="L17" s="54">
        <f t="shared" si="0"/>
        <v>0.734375</v>
      </c>
      <c r="M17" s="54">
        <f t="shared" si="14"/>
        <v>2.447916666666667</v>
      </c>
      <c r="N17" s="49">
        <f t="shared" si="21"/>
        <v>32.413214412495556</v>
      </c>
      <c r="O17" s="54">
        <f t="shared" si="5"/>
        <v>34.86113107916222</v>
      </c>
      <c r="P17" s="54">
        <f t="shared" si="22"/>
        <v>0</v>
      </c>
      <c r="Q17" s="324">
        <v>57.644080346354166</v>
      </c>
      <c r="R17" s="54">
        <f t="shared" si="23"/>
        <v>0</v>
      </c>
      <c r="S17" s="54">
        <f t="shared" si="15"/>
        <v>0</v>
      </c>
      <c r="T17" s="49">
        <f t="shared" si="6"/>
        <v>19.10205593272985</v>
      </c>
      <c r="U17" s="54">
        <f t="shared" si="7"/>
        <v>19.10205593272985</v>
      </c>
      <c r="V17" s="54">
        <f t="shared" si="24"/>
        <v>0</v>
      </c>
      <c r="W17" s="324">
        <v>0</v>
      </c>
      <c r="X17" s="54">
        <f t="shared" si="1"/>
        <v>0</v>
      </c>
      <c r="Y17" s="54">
        <f t="shared" si="16"/>
        <v>0</v>
      </c>
      <c r="Z17" s="49">
        <f t="shared" si="8"/>
        <v>0</v>
      </c>
      <c r="AA17" s="54">
        <f t="shared" si="9"/>
        <v>0</v>
      </c>
      <c r="AB17" s="54">
        <f t="shared" si="17"/>
        <v>0</v>
      </c>
      <c r="AC17" s="324">
        <v>0</v>
      </c>
      <c r="AD17" s="54">
        <f t="shared" si="10"/>
        <v>0</v>
      </c>
      <c r="AE17" s="54">
        <f t="shared" si="18"/>
        <v>0</v>
      </c>
      <c r="AF17" s="49">
        <f t="shared" si="11"/>
        <v>0</v>
      </c>
      <c r="AG17" s="54">
        <f t="shared" si="12"/>
        <v>0</v>
      </c>
      <c r="AH17" s="54">
        <f t="shared" si="2"/>
        <v>0</v>
      </c>
      <c r="AI17" s="131"/>
      <c r="AJ17" s="54"/>
      <c r="AK17" s="54"/>
      <c r="AL17" s="49"/>
      <c r="AM17" s="54"/>
      <c r="AN17" s="54"/>
      <c r="AO17" s="54"/>
      <c r="AP17" s="54"/>
      <c r="AQ17" s="121"/>
      <c r="AR17" s="54"/>
      <c r="AS17" s="54"/>
    </row>
    <row r="18" spans="1:45" s="112" customFormat="1" ht="15.75">
      <c r="A18" s="55" t="s">
        <v>25</v>
      </c>
      <c r="B18" s="51">
        <f>L46/$D$3</f>
        <v>0.20323038693645723</v>
      </c>
      <c r="C18" s="108">
        <f>5.66/12</f>
        <v>0.4716666666666667</v>
      </c>
      <c r="D18" s="324">
        <f>6.63/12</f>
        <v>0.5525</v>
      </c>
      <c r="E18" s="324">
        <v>21.416870532207337</v>
      </c>
      <c r="F18" s="54">
        <f t="shared" si="3"/>
        <v>0</v>
      </c>
      <c r="G18" s="54">
        <f t="shared" si="13"/>
        <v>0</v>
      </c>
      <c r="H18" s="49">
        <f t="shared" si="19"/>
        <v>13.829827831025915</v>
      </c>
      <c r="I18" s="54">
        <f t="shared" si="4"/>
        <v>13.829827831025915</v>
      </c>
      <c r="J18" s="54">
        <f t="shared" si="20"/>
        <v>0</v>
      </c>
      <c r="K18" s="324">
        <v>67.85412187743636</v>
      </c>
      <c r="L18" s="54">
        <f t="shared" si="0"/>
        <v>0</v>
      </c>
      <c r="M18" s="54">
        <f t="shared" si="14"/>
        <v>0</v>
      </c>
      <c r="N18" s="49">
        <f t="shared" si="21"/>
        <v>6.665956691515796</v>
      </c>
      <c r="O18" s="54">
        <f t="shared" si="5"/>
        <v>6.665956691515796</v>
      </c>
      <c r="P18" s="54">
        <f t="shared" si="22"/>
        <v>0</v>
      </c>
      <c r="Q18" s="324">
        <v>88.3311939981908</v>
      </c>
      <c r="R18" s="54">
        <f t="shared" si="23"/>
        <v>0</v>
      </c>
      <c r="S18" s="54">
        <f t="shared" si="15"/>
        <v>0</v>
      </c>
      <c r="T18" s="49">
        <f t="shared" si="6"/>
        <v>3.9284433794817177</v>
      </c>
      <c r="U18" s="54">
        <f t="shared" si="7"/>
        <v>3.9284433794817177</v>
      </c>
      <c r="V18" s="54">
        <f t="shared" si="24"/>
        <v>0</v>
      </c>
      <c r="W18" s="324">
        <v>0</v>
      </c>
      <c r="X18" s="54">
        <f t="shared" si="1"/>
        <v>0</v>
      </c>
      <c r="Y18" s="54">
        <f t="shared" si="16"/>
        <v>0</v>
      </c>
      <c r="Z18" s="49">
        <f t="shared" si="8"/>
        <v>0</v>
      </c>
      <c r="AA18" s="54">
        <f t="shared" si="9"/>
        <v>0</v>
      </c>
      <c r="AB18" s="54">
        <f t="shared" si="17"/>
        <v>0</v>
      </c>
      <c r="AC18" s="324">
        <v>0</v>
      </c>
      <c r="AD18" s="54">
        <f t="shared" si="10"/>
        <v>0</v>
      </c>
      <c r="AE18" s="54">
        <f t="shared" si="18"/>
        <v>0</v>
      </c>
      <c r="AF18" s="49">
        <f t="shared" si="11"/>
        <v>0</v>
      </c>
      <c r="AG18" s="54">
        <f t="shared" si="12"/>
        <v>0</v>
      </c>
      <c r="AH18" s="54">
        <f t="shared" si="2"/>
        <v>0</v>
      </c>
      <c r="AI18" s="131"/>
      <c r="AJ18" s="54"/>
      <c r="AK18" s="54"/>
      <c r="AL18" s="49"/>
      <c r="AM18" s="54"/>
      <c r="AN18" s="54"/>
      <c r="AO18" s="54"/>
      <c r="AP18" s="54"/>
      <c r="AQ18" s="121"/>
      <c r="AR18" s="54"/>
      <c r="AS18" s="54"/>
    </row>
    <row r="19" spans="1:45" s="112" customFormat="1" ht="15.75">
      <c r="A19" s="55" t="s">
        <v>26</v>
      </c>
      <c r="B19" s="51">
        <f>M46/$D$3</f>
        <v>0.4953740681576145</v>
      </c>
      <c r="C19" s="108">
        <f>4.7/12</f>
        <v>0.39166666666666666</v>
      </c>
      <c r="D19" s="324">
        <f>3.1/12</f>
        <v>0.25833333333333336</v>
      </c>
      <c r="E19" s="324">
        <v>0.45942123875</v>
      </c>
      <c r="F19" s="54">
        <f t="shared" si="3"/>
        <v>0.17866666666666664</v>
      </c>
      <c r="G19" s="54">
        <f t="shared" si="13"/>
        <v>0.5955555555555555</v>
      </c>
      <c r="H19" s="49">
        <f t="shared" si="19"/>
        <v>33.71020533812566</v>
      </c>
      <c r="I19" s="54">
        <f t="shared" si="4"/>
        <v>34.30576089368122</v>
      </c>
      <c r="J19" s="54">
        <f t="shared" si="20"/>
        <v>33.84633965493122</v>
      </c>
      <c r="K19" s="324">
        <v>96.69151098628473</v>
      </c>
      <c r="L19" s="54">
        <f t="shared" si="0"/>
        <v>0.16666666666666663</v>
      </c>
      <c r="M19" s="54">
        <f t="shared" si="14"/>
        <v>0.5555555555555555</v>
      </c>
      <c r="N19" s="49">
        <f t="shared" si="21"/>
        <v>16.248269435569753</v>
      </c>
      <c r="O19" s="54">
        <f t="shared" si="5"/>
        <v>16.80382499112531</v>
      </c>
      <c r="P19" s="54">
        <f t="shared" si="22"/>
        <v>0</v>
      </c>
      <c r="Q19" s="324">
        <v>56.98032037531249</v>
      </c>
      <c r="R19" s="54">
        <f t="shared" si="23"/>
        <v>0</v>
      </c>
      <c r="S19" s="54">
        <f t="shared" si="15"/>
        <v>0</v>
      </c>
      <c r="T19" s="49">
        <f t="shared" si="6"/>
        <v>9.575580737486687</v>
      </c>
      <c r="U19" s="54">
        <f t="shared" si="7"/>
        <v>9.575580737486687</v>
      </c>
      <c r="V19" s="54">
        <f t="shared" si="24"/>
        <v>0</v>
      </c>
      <c r="W19" s="324">
        <v>10.676915704270828</v>
      </c>
      <c r="X19" s="54">
        <f t="shared" si="1"/>
        <v>0</v>
      </c>
      <c r="Y19" s="54">
        <f t="shared" si="16"/>
        <v>0</v>
      </c>
      <c r="Z19" s="49">
        <f t="shared" si="8"/>
        <v>0</v>
      </c>
      <c r="AA19" s="54">
        <f t="shared" si="9"/>
        <v>0</v>
      </c>
      <c r="AB19" s="54">
        <f t="shared" si="17"/>
        <v>0</v>
      </c>
      <c r="AC19" s="324">
        <v>0</v>
      </c>
      <c r="AD19" s="54">
        <f t="shared" si="10"/>
        <v>0</v>
      </c>
      <c r="AE19" s="54">
        <f t="shared" si="18"/>
        <v>0</v>
      </c>
      <c r="AF19" s="49">
        <f t="shared" si="11"/>
        <v>0</v>
      </c>
      <c r="AG19" s="54">
        <f t="shared" si="12"/>
        <v>0</v>
      </c>
      <c r="AH19" s="54">
        <f t="shared" si="2"/>
        <v>0</v>
      </c>
      <c r="AI19" s="131"/>
      <c r="AJ19" s="54"/>
      <c r="AK19" s="54"/>
      <c r="AL19" s="49"/>
      <c r="AM19" s="54"/>
      <c r="AN19" s="54"/>
      <c r="AO19" s="54"/>
      <c r="AP19" s="54"/>
      <c r="AQ19" s="121"/>
      <c r="AR19" s="54"/>
      <c r="AS19" s="54"/>
    </row>
    <row r="20" spans="1:45" s="112" customFormat="1" ht="15.75">
      <c r="A20" s="55" t="s">
        <v>27</v>
      </c>
      <c r="B20" s="51">
        <f>N46/$D$3</f>
        <v>0.41916267305644295</v>
      </c>
      <c r="C20" s="108">
        <f>4.18/12</f>
        <v>0.34833333333333333</v>
      </c>
      <c r="D20" s="324">
        <f>2.69/12</f>
        <v>0.22416666666666665</v>
      </c>
      <c r="E20" s="324">
        <v>2.994444462227183</v>
      </c>
      <c r="F20" s="54">
        <f t="shared" si="3"/>
        <v>0.16638333333333336</v>
      </c>
      <c r="G20" s="54">
        <f t="shared" si="13"/>
        <v>0.5546111111111112</v>
      </c>
      <c r="H20" s="49">
        <f t="shared" si="19"/>
        <v>28.52401990149094</v>
      </c>
      <c r="I20" s="54">
        <f t="shared" si="4"/>
        <v>29.078631012602052</v>
      </c>
      <c r="J20" s="54">
        <f t="shared" si="20"/>
        <v>26.08418655037487</v>
      </c>
      <c r="K20" s="324">
        <v>64.28811390398796</v>
      </c>
      <c r="L20" s="54">
        <f t="shared" si="0"/>
        <v>0.15520833333333334</v>
      </c>
      <c r="M20" s="54">
        <f t="shared" si="14"/>
        <v>0.5173611111111112</v>
      </c>
      <c r="N20" s="49">
        <f t="shared" si="21"/>
        <v>13.748535676251327</v>
      </c>
      <c r="O20" s="54">
        <f t="shared" si="5"/>
        <v>14.265896787362438</v>
      </c>
      <c r="P20" s="54">
        <f t="shared" si="22"/>
        <v>0</v>
      </c>
      <c r="Q20" s="324">
        <v>38.96301282281798</v>
      </c>
      <c r="R20" s="54">
        <f t="shared" si="23"/>
        <v>0</v>
      </c>
      <c r="S20" s="54">
        <f t="shared" si="15"/>
        <v>0</v>
      </c>
      <c r="T20" s="49">
        <f t="shared" si="6"/>
        <v>8.102414470181042</v>
      </c>
      <c r="U20" s="54">
        <f t="shared" si="7"/>
        <v>8.102414470181042</v>
      </c>
      <c r="V20" s="54">
        <f t="shared" si="24"/>
        <v>0</v>
      </c>
      <c r="W20" s="324">
        <v>29.859570602916676</v>
      </c>
      <c r="X20" s="54">
        <f t="shared" si="1"/>
        <v>0</v>
      </c>
      <c r="Y20" s="54">
        <f t="shared" si="16"/>
        <v>0</v>
      </c>
      <c r="Z20" s="49">
        <f t="shared" si="8"/>
        <v>0</v>
      </c>
      <c r="AA20" s="54">
        <f t="shared" si="9"/>
        <v>0</v>
      </c>
      <c r="AB20" s="54">
        <f t="shared" si="17"/>
        <v>0</v>
      </c>
      <c r="AC20" s="324">
        <v>1.8953295518750002</v>
      </c>
      <c r="AD20" s="54">
        <f t="shared" si="10"/>
        <v>0</v>
      </c>
      <c r="AE20" s="54">
        <f t="shared" si="18"/>
        <v>0</v>
      </c>
      <c r="AF20" s="49">
        <f t="shared" si="11"/>
        <v>0</v>
      </c>
      <c r="AG20" s="54">
        <f t="shared" si="12"/>
        <v>0</v>
      </c>
      <c r="AH20" s="54">
        <f t="shared" si="2"/>
        <v>0</v>
      </c>
      <c r="AI20" s="131"/>
      <c r="AJ20" s="54"/>
      <c r="AK20" s="54"/>
      <c r="AL20" s="49"/>
      <c r="AM20" s="54"/>
      <c r="AN20" s="54"/>
      <c r="AO20" s="54"/>
      <c r="AP20" s="54"/>
      <c r="AQ20" s="121"/>
      <c r="AR20" s="54"/>
      <c r="AS20" s="54"/>
    </row>
    <row r="21" spans="1:45" s="112" customFormat="1" ht="15.75">
      <c r="A21" s="55" t="s">
        <v>28</v>
      </c>
      <c r="B21" s="51">
        <f>O46/$D$3</f>
        <v>0.2311745651402201</v>
      </c>
      <c r="C21" s="108">
        <f>3.5/12</f>
        <v>0.2916666666666667</v>
      </c>
      <c r="D21" s="324">
        <f>1.38/12</f>
        <v>0.11499999999999999</v>
      </c>
      <c r="E21" s="324">
        <v>0</v>
      </c>
      <c r="F21" s="54">
        <f t="shared" si="3"/>
        <v>0.23673333333333338</v>
      </c>
      <c r="G21" s="54">
        <f t="shared" si="13"/>
        <v>0.7891111111111113</v>
      </c>
      <c r="H21" s="49">
        <f t="shared" si="19"/>
        <v>15.731429157791977</v>
      </c>
      <c r="I21" s="54">
        <f t="shared" si="4"/>
        <v>16.520540268903087</v>
      </c>
      <c r="J21" s="54">
        <f t="shared" si="20"/>
        <v>16.520540268903087</v>
      </c>
      <c r="K21" s="326">
        <v>46.45892800277778</v>
      </c>
      <c r="L21" s="54">
        <f t="shared" si="0"/>
        <v>0.22083333333333338</v>
      </c>
      <c r="M21" s="54">
        <f t="shared" si="14"/>
        <v>0.7361111111111113</v>
      </c>
      <c r="N21" s="49">
        <f t="shared" si="21"/>
        <v>7.582525736599219</v>
      </c>
      <c r="O21" s="54">
        <f t="shared" si="5"/>
        <v>8.31863684771033</v>
      </c>
      <c r="P21" s="54">
        <f t="shared" si="22"/>
        <v>0</v>
      </c>
      <c r="Q21" s="324">
        <v>1.704916431875</v>
      </c>
      <c r="R21" s="54">
        <f t="shared" si="23"/>
        <v>0</v>
      </c>
      <c r="S21" s="54">
        <f t="shared" si="15"/>
        <v>0</v>
      </c>
      <c r="T21" s="49">
        <f t="shared" si="6"/>
        <v>4.468604344160454</v>
      </c>
      <c r="U21" s="54">
        <f t="shared" si="7"/>
        <v>4.468604344160454</v>
      </c>
      <c r="V21" s="54">
        <f t="shared" si="24"/>
        <v>2.763687912285454</v>
      </c>
      <c r="W21" s="324">
        <v>3.8527045246875</v>
      </c>
      <c r="X21" s="54">
        <f t="shared" si="1"/>
        <v>0</v>
      </c>
      <c r="Y21" s="54">
        <f t="shared" si="16"/>
        <v>0</v>
      </c>
      <c r="Z21" s="49">
        <f t="shared" si="8"/>
        <v>0</v>
      </c>
      <c r="AA21" s="54">
        <f t="shared" si="9"/>
        <v>0</v>
      </c>
      <c r="AB21" s="54">
        <f t="shared" si="17"/>
        <v>0</v>
      </c>
      <c r="AC21" s="324">
        <v>1.8771684046875003</v>
      </c>
      <c r="AD21" s="54">
        <f t="shared" si="10"/>
        <v>0</v>
      </c>
      <c r="AE21" s="54">
        <f t="shared" si="18"/>
        <v>0</v>
      </c>
      <c r="AF21" s="49">
        <f t="shared" si="11"/>
        <v>0</v>
      </c>
      <c r="AG21" s="54">
        <f t="shared" si="12"/>
        <v>0</v>
      </c>
      <c r="AH21" s="54">
        <f t="shared" si="2"/>
        <v>0</v>
      </c>
      <c r="AI21" s="131"/>
      <c r="AJ21" s="54"/>
      <c r="AK21" s="54"/>
      <c r="AL21" s="49"/>
      <c r="AM21" s="54"/>
      <c r="AN21" s="54"/>
      <c r="AO21" s="54"/>
      <c r="AP21" s="54"/>
      <c r="AQ21" s="121"/>
      <c r="AR21" s="54"/>
      <c r="AS21" s="54"/>
    </row>
    <row r="22" spans="1:45" s="112" customFormat="1" ht="15.75">
      <c r="A22" s="55" t="s">
        <v>29</v>
      </c>
      <c r="B22" s="51">
        <f>P46/$D$3</f>
        <v>0.0025403798367057153</v>
      </c>
      <c r="C22" s="108">
        <f>1.82/12</f>
        <v>0.15166666666666667</v>
      </c>
      <c r="D22" s="324">
        <f>1.29/12</f>
        <v>0.1075</v>
      </c>
      <c r="E22" s="324">
        <v>0</v>
      </c>
      <c r="F22" s="54">
        <f t="shared" si="3"/>
        <v>0.059183333333333345</v>
      </c>
      <c r="G22" s="54">
        <f t="shared" si="13"/>
        <v>0.19727777777777783</v>
      </c>
      <c r="H22" s="49">
        <f t="shared" si="19"/>
        <v>0.17287284788782392</v>
      </c>
      <c r="I22" s="54">
        <f t="shared" si="4"/>
        <v>0.37015062566560175</v>
      </c>
      <c r="J22" s="54">
        <f t="shared" si="20"/>
        <v>0.37015062566560175</v>
      </c>
      <c r="K22" s="327">
        <v>49.071047799999995</v>
      </c>
      <c r="L22" s="54">
        <f t="shared" si="0"/>
        <v>0.055208333333333345</v>
      </c>
      <c r="M22" s="54">
        <f t="shared" si="14"/>
        <v>0.18402777777777782</v>
      </c>
      <c r="N22" s="49">
        <f t="shared" si="21"/>
        <v>0.08332445864394745</v>
      </c>
      <c r="O22" s="54">
        <f t="shared" si="5"/>
        <v>0.2673522364217253</v>
      </c>
      <c r="P22" s="54">
        <f t="shared" si="22"/>
        <v>0</v>
      </c>
      <c r="Q22" s="324">
        <v>3.912477219583334</v>
      </c>
      <c r="R22" s="54">
        <f t="shared" si="23"/>
        <v>0</v>
      </c>
      <c r="S22" s="54">
        <f t="shared" si="15"/>
        <v>0</v>
      </c>
      <c r="T22" s="49">
        <f t="shared" si="6"/>
        <v>0.04910554224352147</v>
      </c>
      <c r="U22" s="54">
        <f t="shared" si="7"/>
        <v>0.04910554224352147</v>
      </c>
      <c r="V22" s="54">
        <f t="shared" si="24"/>
        <v>0</v>
      </c>
      <c r="W22" s="324">
        <v>0.6415079169791671</v>
      </c>
      <c r="X22" s="54">
        <f t="shared" si="1"/>
        <v>0</v>
      </c>
      <c r="Y22" s="54">
        <f t="shared" si="16"/>
        <v>0</v>
      </c>
      <c r="Z22" s="49">
        <f t="shared" si="8"/>
        <v>0</v>
      </c>
      <c r="AA22" s="54">
        <f t="shared" si="9"/>
        <v>0</v>
      </c>
      <c r="AB22" s="54">
        <f t="shared" si="17"/>
        <v>0</v>
      </c>
      <c r="AC22" s="324">
        <v>0.06659087302083337</v>
      </c>
      <c r="AD22" s="54">
        <f t="shared" si="10"/>
        <v>0</v>
      </c>
      <c r="AE22" s="54">
        <f t="shared" si="18"/>
        <v>0</v>
      </c>
      <c r="AF22" s="49">
        <f t="shared" si="11"/>
        <v>0</v>
      </c>
      <c r="AG22" s="54">
        <f t="shared" si="12"/>
        <v>0</v>
      </c>
      <c r="AH22" s="54">
        <f t="shared" si="2"/>
        <v>0</v>
      </c>
      <c r="AI22" s="131"/>
      <c r="AJ22" s="54"/>
      <c r="AK22" s="54"/>
      <c r="AL22" s="49"/>
      <c r="AM22" s="54"/>
      <c r="AN22" s="54"/>
      <c r="AO22" s="54"/>
      <c r="AP22" s="54"/>
      <c r="AQ22" s="121"/>
      <c r="AR22" s="54"/>
      <c r="AS22" s="54"/>
    </row>
    <row r="23" spans="1:45" s="112" customFormat="1" ht="15.75">
      <c r="A23" s="55" t="s">
        <v>211</v>
      </c>
      <c r="B23" s="54">
        <f>Q46/$D$3</f>
        <v>0</v>
      </c>
      <c r="C23" s="179">
        <f>1.49/12</f>
        <v>0.12416666666666666</v>
      </c>
      <c r="D23" s="339">
        <f>0.9/12</f>
        <v>0.075</v>
      </c>
      <c r="E23" s="334">
        <v>0</v>
      </c>
      <c r="F23" s="54">
        <f t="shared" si="3"/>
        <v>0.06588333333333334</v>
      </c>
      <c r="G23" s="54">
        <f>F23/$D$3</f>
        <v>0.21961111111111112</v>
      </c>
      <c r="H23" s="49">
        <f>F$9*$B23</f>
        <v>0</v>
      </c>
      <c r="I23" s="54">
        <f>G23+H23</f>
        <v>0.21961111111111112</v>
      </c>
      <c r="J23" s="338">
        <v>0</v>
      </c>
      <c r="K23" s="327">
        <v>3.5504113000000004</v>
      </c>
      <c r="L23" s="54">
        <f t="shared" si="0"/>
        <v>0.06145833333333333</v>
      </c>
      <c r="M23" s="54">
        <f>L23/$D$3</f>
        <v>0.2048611111111111</v>
      </c>
      <c r="N23" s="49">
        <f>L$9*$B23</f>
        <v>0</v>
      </c>
      <c r="O23" s="54">
        <f>M23+N23</f>
        <v>0.2048611111111111</v>
      </c>
      <c r="P23" s="338">
        <v>0</v>
      </c>
      <c r="Q23" s="329">
        <v>0</v>
      </c>
      <c r="R23" s="54">
        <f>R$7*(IF($C23-$D23&lt;0,0,ABS($C23-$D23)))</f>
        <v>0</v>
      </c>
      <c r="S23" s="54">
        <f>R23/$D$3</f>
        <v>0</v>
      </c>
      <c r="T23" s="49">
        <f>R$9*$B23</f>
        <v>0</v>
      </c>
      <c r="U23" s="54">
        <f>S23+T23</f>
        <v>0</v>
      </c>
      <c r="V23" s="54">
        <f>IF(Q23-U23&gt;0,0,ABS(Q23-U23))</f>
        <v>0</v>
      </c>
      <c r="W23" s="329">
        <v>0</v>
      </c>
      <c r="X23" s="54">
        <f t="shared" si="1"/>
        <v>0</v>
      </c>
      <c r="Y23" s="54">
        <f>X23/$D$3</f>
        <v>0</v>
      </c>
      <c r="Z23" s="49">
        <f>X$9*$B23</f>
        <v>0</v>
      </c>
      <c r="AA23" s="54">
        <f>Y23+Z23</f>
        <v>0</v>
      </c>
      <c r="AB23" s="338">
        <v>0</v>
      </c>
      <c r="AC23" s="329">
        <v>0</v>
      </c>
      <c r="AD23" s="54">
        <f t="shared" si="10"/>
        <v>0</v>
      </c>
      <c r="AE23" s="54">
        <f>AD23/$D$3</f>
        <v>0</v>
      </c>
      <c r="AF23" s="49">
        <f>AD$9*$B23</f>
        <v>0</v>
      </c>
      <c r="AG23" s="54">
        <f>AE23+AF23</f>
        <v>0</v>
      </c>
      <c r="AH23" s="54">
        <f t="shared" si="2"/>
        <v>0</v>
      </c>
      <c r="AJ23" s="54"/>
      <c r="AK23" s="54"/>
      <c r="AL23" s="121"/>
      <c r="AM23" s="54"/>
      <c r="AN23" s="54"/>
      <c r="AO23" s="54"/>
      <c r="AP23" s="54"/>
      <c r="AQ23" s="121"/>
      <c r="AR23" s="54"/>
      <c r="AS23" s="54"/>
    </row>
    <row r="24" spans="1:45" s="120" customFormat="1" ht="15.75">
      <c r="A24" s="53" t="s">
        <v>34</v>
      </c>
      <c r="B24" s="53">
        <f>SUM(B12:B23)</f>
        <v>3.1805555555555562</v>
      </c>
      <c r="C24" s="53">
        <f aca="true" t="shared" si="25" ref="C24:AC24">SUM(C12:C23)</f>
        <v>3.9916666666666663</v>
      </c>
      <c r="D24" s="53">
        <f t="shared" si="25"/>
        <v>1.4974999999999998</v>
      </c>
      <c r="E24" s="53">
        <f t="shared" si="25"/>
        <v>130.7841022203596</v>
      </c>
      <c r="F24" s="53">
        <f t="shared" si="25"/>
        <v>3.4505000000000003</v>
      </c>
      <c r="G24" s="53">
        <f t="shared" si="25"/>
        <v>11.50166666666667</v>
      </c>
      <c r="H24" s="53">
        <f t="shared" si="25"/>
        <v>216.43680555555554</v>
      </c>
      <c r="I24" s="53">
        <f t="shared" si="25"/>
        <v>227.9384722222222</v>
      </c>
      <c r="J24" s="53">
        <f t="shared" si="25"/>
        <v>102.1395793697107</v>
      </c>
      <c r="K24" s="53">
        <f t="shared" si="25"/>
        <v>518.0601998193368</v>
      </c>
      <c r="L24" s="53">
        <f t="shared" si="25"/>
        <v>3.21875</v>
      </c>
      <c r="M24" s="53">
        <f t="shared" si="25"/>
        <v>10.729166666666666</v>
      </c>
      <c r="N24" s="53">
        <f t="shared" si="25"/>
        <v>104.32222222222221</v>
      </c>
      <c r="O24" s="53">
        <f t="shared" si="25"/>
        <v>115.0513888888889</v>
      </c>
      <c r="P24" s="53">
        <f t="shared" si="25"/>
        <v>0</v>
      </c>
      <c r="Q24" s="53">
        <f t="shared" si="25"/>
        <v>493.1733476577402</v>
      </c>
      <c r="R24" s="53">
        <f t="shared" si="25"/>
        <v>0</v>
      </c>
      <c r="S24" s="53">
        <f t="shared" si="25"/>
        <v>0</v>
      </c>
      <c r="T24" s="53">
        <f t="shared" si="25"/>
        <v>61.48013888888889</v>
      </c>
      <c r="U24" s="53">
        <f t="shared" si="25"/>
        <v>61.48013888888889</v>
      </c>
      <c r="V24" s="53">
        <f t="shared" si="25"/>
        <v>2.763687912285454</v>
      </c>
      <c r="W24" s="53">
        <f t="shared" si="25"/>
        <v>60.40403800955427</v>
      </c>
      <c r="X24" s="53">
        <f t="shared" si="25"/>
        <v>0</v>
      </c>
      <c r="Y24" s="53">
        <f t="shared" si="25"/>
        <v>0</v>
      </c>
      <c r="Z24" s="53">
        <f t="shared" si="25"/>
        <v>0</v>
      </c>
      <c r="AA24" s="53">
        <f t="shared" si="25"/>
        <v>0</v>
      </c>
      <c r="AB24" s="53">
        <f t="shared" si="25"/>
        <v>0</v>
      </c>
      <c r="AC24" s="53">
        <f t="shared" si="25"/>
        <v>7.72735118625</v>
      </c>
      <c r="AD24" s="53">
        <f>SUM(AD12:AD23)</f>
        <v>0</v>
      </c>
      <c r="AE24" s="53">
        <f>SUM(AE12:AE23)</f>
        <v>0</v>
      </c>
      <c r="AF24" s="53">
        <f>SUM(AF12:AF23)</f>
        <v>0</v>
      </c>
      <c r="AG24" s="53">
        <f>SUM(AG12:AG23)</f>
        <v>0</v>
      </c>
      <c r="AH24" s="53">
        <f>SUM(AH12:AH23)</f>
        <v>0</v>
      </c>
      <c r="AI24" s="53"/>
      <c r="AJ24" s="53"/>
      <c r="AK24" s="53"/>
      <c r="AL24" s="53"/>
      <c r="AM24" s="53"/>
      <c r="AN24" s="53"/>
      <c r="AO24" s="53"/>
      <c r="AS24" s="53"/>
    </row>
    <row r="25" spans="1:29" s="112" customFormat="1" ht="15.75">
      <c r="A25" s="247" t="s">
        <v>353</v>
      </c>
      <c r="B25" s="247"/>
      <c r="C25" s="247"/>
      <c r="D25" s="252"/>
      <c r="E25" s="252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T25" s="325" t="s">
        <v>345</v>
      </c>
      <c r="U25" s="288"/>
      <c r="V25" s="288"/>
      <c r="W25" s="49"/>
      <c r="AB25" s="49"/>
      <c r="AC25" s="49"/>
    </row>
    <row r="26" spans="1:29" s="112" customFormat="1" ht="15.75">
      <c r="A26" s="49" t="s">
        <v>352</v>
      </c>
      <c r="B26" s="49"/>
      <c r="C26" s="49"/>
      <c r="D26" s="52"/>
      <c r="E26" s="52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V26" s="49"/>
      <c r="W26" s="49"/>
      <c r="AB26" s="49"/>
      <c r="AC26" s="49"/>
    </row>
    <row r="27" spans="1:40" s="148" customFormat="1" ht="18" customHeight="1">
      <c r="A27" s="141" t="s">
        <v>35</v>
      </c>
      <c r="B27" s="142"/>
      <c r="C27" s="146"/>
      <c r="D27" s="147"/>
      <c r="E27" s="147"/>
      <c r="F27" s="382" t="s">
        <v>120</v>
      </c>
      <c r="G27" s="383"/>
      <c r="H27" s="383"/>
      <c r="I27" s="383"/>
      <c r="J27" s="383"/>
      <c r="K27" s="383"/>
      <c r="L27" s="384" t="s">
        <v>121</v>
      </c>
      <c r="M27" s="383"/>
      <c r="N27" s="383"/>
      <c r="O27" s="383"/>
      <c r="P27" s="383"/>
      <c r="Q27" s="383"/>
      <c r="R27" s="196"/>
      <c r="S27" s="385" t="s">
        <v>73</v>
      </c>
      <c r="T27" s="386"/>
      <c r="U27" s="386"/>
      <c r="V27" s="386"/>
      <c r="W27" s="386"/>
      <c r="X27" s="386"/>
      <c r="Y27" s="195"/>
      <c r="Z27" s="195"/>
      <c r="AA27" s="195"/>
      <c r="AB27" s="195"/>
      <c r="AC27" s="231"/>
      <c r="AD27" s="195"/>
      <c r="AE27" s="195"/>
      <c r="AF27" s="195"/>
      <c r="AG27" s="195"/>
      <c r="AH27" s="195"/>
      <c r="AI27" s="196"/>
      <c r="AJ27" s="196"/>
      <c r="AK27" s="196"/>
      <c r="AL27" s="196"/>
      <c r="AM27" s="196"/>
      <c r="AN27" s="196"/>
    </row>
    <row r="28" spans="1:33" s="140" customFormat="1" ht="72.75" customHeight="1">
      <c r="A28" s="129"/>
      <c r="B28" s="129"/>
      <c r="C28" s="149" t="s">
        <v>8</v>
      </c>
      <c r="D28" s="149" t="s">
        <v>9</v>
      </c>
      <c r="E28" s="150"/>
      <c r="F28" s="116" t="s">
        <v>207</v>
      </c>
      <c r="G28" s="126" t="s">
        <v>0</v>
      </c>
      <c r="H28" s="116" t="s">
        <v>2</v>
      </c>
      <c r="I28" s="116" t="s">
        <v>3</v>
      </c>
      <c r="J28" s="116" t="s">
        <v>298</v>
      </c>
      <c r="K28" s="116" t="s">
        <v>299</v>
      </c>
      <c r="L28" s="129"/>
      <c r="M28" s="116" t="s">
        <v>209</v>
      </c>
      <c r="N28" s="126" t="s">
        <v>0</v>
      </c>
      <c r="O28" s="116" t="s">
        <v>299</v>
      </c>
      <c r="P28" s="116" t="s">
        <v>208</v>
      </c>
      <c r="Q28" s="126" t="s">
        <v>0</v>
      </c>
      <c r="S28" s="126" t="s">
        <v>122</v>
      </c>
      <c r="T28" s="116" t="s">
        <v>1</v>
      </c>
      <c r="U28" s="116" t="s">
        <v>4</v>
      </c>
      <c r="V28" s="126" t="s">
        <v>300</v>
      </c>
      <c r="W28" s="126" t="s">
        <v>123</v>
      </c>
      <c r="X28" s="126" t="s">
        <v>301</v>
      </c>
      <c r="Y28" s="116"/>
      <c r="AG28" s="83"/>
    </row>
    <row r="29" spans="1:39" ht="15.75">
      <c r="A29" s="110" t="s">
        <v>242</v>
      </c>
      <c r="B29" s="49"/>
      <c r="C29" s="54">
        <f>B24*$D$3</f>
        <v>0.9541666666666668</v>
      </c>
      <c r="E29" s="54"/>
      <c r="F29" s="54">
        <f>($F9+$L9+$R9+$X9+$AD9+$AJ9)-F30</f>
        <v>120.17999999999999</v>
      </c>
      <c r="G29" s="54">
        <f>F29*$C29</f>
        <v>114.67175000000002</v>
      </c>
      <c r="H29" s="112">
        <f>H24+N24+T24+Z24+AF24+AL24</f>
        <v>382.2391666666666</v>
      </c>
      <c r="I29" s="112"/>
      <c r="J29" s="49"/>
      <c r="K29" s="49">
        <f>G29*J32</f>
        <v>29.741244690444887</v>
      </c>
      <c r="L29" s="112"/>
      <c r="M29" s="338">
        <v>29.35</v>
      </c>
      <c r="N29" s="54">
        <f>M29*$C29</f>
        <v>28.004791666666673</v>
      </c>
      <c r="O29" s="49">
        <f>J32*N29</f>
        <v>7.263317787190527</v>
      </c>
      <c r="P29" s="341">
        <v>0.43</v>
      </c>
      <c r="Q29" s="54">
        <f>P29*$C29</f>
        <v>0.4102916666666667</v>
      </c>
      <c r="S29" s="112">
        <f>F29+M29+P29</f>
        <v>149.96</v>
      </c>
      <c r="T29" s="49">
        <f>G29+N29+Q29</f>
        <v>143.08683333333335</v>
      </c>
      <c r="U29" s="49">
        <f>O29+K29</f>
        <v>37.00456247763542</v>
      </c>
      <c r="V29" s="49">
        <f>T29-U29</f>
        <v>106.08227085569793</v>
      </c>
      <c r="W29" s="49"/>
      <c r="X29" s="49"/>
      <c r="Y29" s="112"/>
      <c r="AG29" s="49"/>
      <c r="AH29" s="114"/>
      <c r="AI29" s="114"/>
      <c r="AM29" s="49"/>
    </row>
    <row r="30" spans="1:39" ht="15.75">
      <c r="A30" s="110" t="s">
        <v>243</v>
      </c>
      <c r="B30" s="49"/>
      <c r="C30" s="112"/>
      <c r="D30" s="54"/>
      <c r="E30" s="54"/>
      <c r="F30" s="54"/>
      <c r="G30" s="54"/>
      <c r="H30" s="112"/>
      <c r="I30" s="112"/>
      <c r="J30" s="49"/>
      <c r="K30" s="49"/>
      <c r="L30" s="112"/>
      <c r="M30" s="54">
        <v>0</v>
      </c>
      <c r="N30" s="54"/>
      <c r="O30" s="49"/>
      <c r="P30" s="112">
        <v>0</v>
      </c>
      <c r="Q30" s="54"/>
      <c r="S30" s="112"/>
      <c r="T30" s="49"/>
      <c r="U30" s="49"/>
      <c r="V30" s="49"/>
      <c r="W30" s="49"/>
      <c r="X30" s="49"/>
      <c r="Y30" s="112"/>
      <c r="AG30" s="49"/>
      <c r="AH30" s="114"/>
      <c r="AI30" s="292"/>
      <c r="AK30" s="64"/>
      <c r="AM30" s="49"/>
    </row>
    <row r="31" spans="1:39" s="45" customFormat="1" ht="15.75">
      <c r="A31" s="45" t="s">
        <v>50</v>
      </c>
      <c r="E31" s="51"/>
      <c r="F31" s="54">
        <f>F7+L7+R7+X7+AD7+AJ7</f>
        <v>2.59</v>
      </c>
      <c r="G31" s="54">
        <f>F31*($C24-$D24)</f>
        <v>6.459891666666667</v>
      </c>
      <c r="H31" s="112">
        <f>G24+M24+S24+Y24+AE24+AK24</f>
        <v>22.230833333333337</v>
      </c>
      <c r="J31" s="49"/>
      <c r="K31" s="49">
        <f>G31*J32</f>
        <v>1.6754363540462158</v>
      </c>
      <c r="M31" s="338">
        <v>22.23</v>
      </c>
      <c r="N31" s="54">
        <f>M31*($C24-$D24)</f>
        <v>55.445325000000004</v>
      </c>
      <c r="O31" s="54">
        <f>J32*N31</f>
        <v>14.380289633377366</v>
      </c>
      <c r="P31" s="322">
        <v>0</v>
      </c>
      <c r="Q31" s="54">
        <f>P31*($C24-$D24)</f>
        <v>0</v>
      </c>
      <c r="R31" s="54"/>
      <c r="S31" s="112">
        <f>F31+M31+P31</f>
        <v>24.82</v>
      </c>
      <c r="T31" s="49">
        <f>G31+N31+Q31</f>
        <v>61.90521666666667</v>
      </c>
      <c r="U31" s="49">
        <f>O31+K31</f>
        <v>16.055725987423582</v>
      </c>
      <c r="V31" s="49">
        <f>T31-U31</f>
        <v>45.84949067924309</v>
      </c>
      <c r="W31" s="42"/>
      <c r="Y31" s="49"/>
      <c r="AH31" s="110"/>
      <c r="AI31" s="110"/>
      <c r="AJ31" s="110"/>
      <c r="AK31" s="110"/>
      <c r="AL31" s="110"/>
      <c r="AM31" s="49"/>
    </row>
    <row r="32" spans="1:39" ht="15.75">
      <c r="A32" s="64" t="s">
        <v>73</v>
      </c>
      <c r="B32" s="49"/>
      <c r="D32" s="54"/>
      <c r="E32" s="54"/>
      <c r="F32" s="54">
        <f>SUM(F29:F31)</f>
        <v>122.77</v>
      </c>
      <c r="G32" s="54">
        <f>SUM(G29:G31)</f>
        <v>121.13164166666668</v>
      </c>
      <c r="H32" s="54">
        <f>SUM(H29:H31)</f>
        <v>404.46999999999997</v>
      </c>
      <c r="I32" s="112">
        <f>J24+P24+V24+AB24+AH24+AN24+AT24</f>
        <v>104.90326728199615</v>
      </c>
      <c r="J32" s="53">
        <f>I32/H32</f>
        <v>0.2593598221919948</v>
      </c>
      <c r="K32" s="54">
        <f>J32*G32</f>
        <v>31.416681044491103</v>
      </c>
      <c r="L32" s="112"/>
      <c r="M32" s="54">
        <f>SUM(M29:M31)</f>
        <v>51.58</v>
      </c>
      <c r="N32" s="54">
        <f>SUM(N29:N31)</f>
        <v>83.45011666666667</v>
      </c>
      <c r="O32" s="54">
        <f>SUM(O29:O31)</f>
        <v>21.643607420567893</v>
      </c>
      <c r="P32" s="54">
        <f>SUM(P29:P31)</f>
        <v>0.43</v>
      </c>
      <c r="Q32" s="54">
        <f>SUM(Q29:Q31)</f>
        <v>0.4102916666666667</v>
      </c>
      <c r="S32" s="112">
        <f>SUM(S29:S31)</f>
        <v>174.78</v>
      </c>
      <c r="T32" s="49">
        <f>SUM(T29:T31)</f>
        <v>204.99205</v>
      </c>
      <c r="U32" s="49">
        <f>SUM(U29:U31)</f>
        <v>53.060288465059</v>
      </c>
      <c r="V32" s="49">
        <f>SUM(V29:V31)</f>
        <v>151.93176153494102</v>
      </c>
      <c r="W32" s="54">
        <f>(V32-Q32)*0.1+(Q32*0.02)</f>
        <v>15.16035282016077</v>
      </c>
      <c r="X32" s="49">
        <f>W32+V32</f>
        <v>167.09211435510178</v>
      </c>
      <c r="Y32" s="112"/>
      <c r="AG32" s="49"/>
      <c r="AM32" s="49"/>
    </row>
    <row r="33" spans="1:37" ht="15.75">
      <c r="A33" s="49"/>
      <c r="B33" s="49"/>
      <c r="C33" s="112"/>
      <c r="D33" s="54"/>
      <c r="E33" s="54"/>
      <c r="F33" s="54"/>
      <c r="G33" s="54"/>
      <c r="H33" s="112"/>
      <c r="I33" s="112"/>
      <c r="J33" s="54"/>
      <c r="K33" s="54"/>
      <c r="L33" s="112"/>
      <c r="M33" s="54"/>
      <c r="N33" s="54"/>
      <c r="O33" s="49"/>
      <c r="P33" s="54"/>
      <c r="Q33" s="54"/>
      <c r="R33" s="54"/>
      <c r="S33" s="112"/>
      <c r="T33" s="112"/>
      <c r="U33" s="49"/>
      <c r="V33" s="49"/>
      <c r="W33" s="49"/>
      <c r="X33" s="46"/>
      <c r="Y33" s="49"/>
      <c r="Z33" s="49"/>
      <c r="AA33" s="49"/>
      <c r="AF33" s="49"/>
      <c r="AG33" s="49"/>
      <c r="AH33" s="114"/>
      <c r="AI33" s="114"/>
      <c r="AK33" s="114"/>
    </row>
    <row r="34" spans="1:33" ht="15.75">
      <c r="A34" s="49" t="s">
        <v>124</v>
      </c>
      <c r="B34" s="49"/>
      <c r="C34" s="112"/>
      <c r="D34" s="54"/>
      <c r="E34" s="54"/>
      <c r="F34" s="54"/>
      <c r="G34" s="54"/>
      <c r="H34" s="112"/>
      <c r="I34" s="112"/>
      <c r="J34" s="54"/>
      <c r="K34" s="54"/>
      <c r="L34" s="112"/>
      <c r="M34" s="54"/>
      <c r="N34" s="54"/>
      <c r="O34" s="49"/>
      <c r="P34" s="54"/>
      <c r="Q34" s="54"/>
      <c r="R34" s="54"/>
      <c r="S34" s="112"/>
      <c r="T34" s="112"/>
      <c r="U34" s="49"/>
      <c r="V34" s="49"/>
      <c r="W34" s="49"/>
      <c r="X34" s="46"/>
      <c r="Y34" s="49"/>
      <c r="Z34" s="49"/>
      <c r="AG34" s="49"/>
    </row>
    <row r="35" spans="1:29" s="112" customFormat="1" ht="15.75">
      <c r="A35" s="112" t="s">
        <v>358</v>
      </c>
      <c r="D35" s="52"/>
      <c r="E35" s="52"/>
      <c r="J35" s="49"/>
      <c r="K35" s="49"/>
      <c r="P35" s="49"/>
      <c r="Q35" s="49"/>
      <c r="V35" s="49"/>
      <c r="W35" s="49"/>
      <c r="AB35" s="49"/>
      <c r="AC35" s="49"/>
    </row>
    <row r="36" spans="1:33" s="139" customFormat="1" ht="15.75">
      <c r="A36" s="143" t="s">
        <v>198</v>
      </c>
      <c r="B36" s="143"/>
      <c r="D36" s="136"/>
      <c r="E36" s="136"/>
      <c r="F36" s="136"/>
      <c r="G36" s="144"/>
      <c r="H36" s="136"/>
      <c r="I36" s="136"/>
      <c r="J36" s="136"/>
      <c r="K36" s="136"/>
      <c r="L36" s="136"/>
      <c r="M36" s="144"/>
      <c r="N36" s="136"/>
      <c r="O36" s="136"/>
      <c r="P36" s="136"/>
      <c r="Q36" s="136"/>
      <c r="R36" s="136"/>
      <c r="S36" s="144"/>
      <c r="T36" s="136"/>
      <c r="U36" s="136"/>
      <c r="V36" s="137"/>
      <c r="W36" s="137"/>
      <c r="X36" s="137"/>
      <c r="Y36" s="138"/>
      <c r="Z36" s="137"/>
      <c r="AA36" s="137"/>
      <c r="AF36" s="137"/>
      <c r="AG36" s="137"/>
    </row>
    <row r="37" spans="1:33" ht="15.75">
      <c r="A37" s="46"/>
      <c r="B37" s="46"/>
      <c r="C37" s="46"/>
      <c r="F37" s="53" t="s">
        <v>89</v>
      </c>
      <c r="G37" s="53" t="s">
        <v>90</v>
      </c>
      <c r="H37" s="53" t="s">
        <v>91</v>
      </c>
      <c r="I37" s="53" t="s">
        <v>92</v>
      </c>
      <c r="J37" s="53" t="s">
        <v>23</v>
      </c>
      <c r="K37" s="53" t="s">
        <v>93</v>
      </c>
      <c r="L37" s="53" t="s">
        <v>94</v>
      </c>
      <c r="M37" s="53" t="s">
        <v>95</v>
      </c>
      <c r="N37" s="53" t="s">
        <v>96</v>
      </c>
      <c r="O37" s="53" t="s">
        <v>97</v>
      </c>
      <c r="P37" s="53" t="s">
        <v>98</v>
      </c>
      <c r="Q37" s="53" t="s">
        <v>99</v>
      </c>
      <c r="R37" s="53" t="s">
        <v>73</v>
      </c>
      <c r="V37" s="49"/>
      <c r="W37" s="49"/>
      <c r="X37" s="49"/>
      <c r="Y37" s="52"/>
      <c r="Z37" s="49"/>
      <c r="AA37" s="49"/>
      <c r="AF37" s="49"/>
      <c r="AG37" s="49"/>
    </row>
    <row r="38" spans="1:33" ht="15.75">
      <c r="A38" s="46"/>
      <c r="B38" s="46"/>
      <c r="C38" s="46"/>
      <c r="F38" s="53"/>
      <c r="G38" s="50"/>
      <c r="H38" s="50"/>
      <c r="I38" s="53"/>
      <c r="J38" s="50"/>
      <c r="K38" s="50"/>
      <c r="L38" s="50"/>
      <c r="M38" s="50"/>
      <c r="N38" s="53"/>
      <c r="O38" s="50"/>
      <c r="P38" s="53"/>
      <c r="Q38" s="50"/>
      <c r="R38" s="53"/>
      <c r="V38" s="49"/>
      <c r="W38" s="49"/>
      <c r="X38" s="49"/>
      <c r="Y38" s="52"/>
      <c r="Z38" s="49"/>
      <c r="AA38" s="49"/>
      <c r="AF38" s="49"/>
      <c r="AG38" s="49"/>
    </row>
    <row r="39" spans="1:33" ht="15.75">
      <c r="A39" s="46" t="s">
        <v>343</v>
      </c>
      <c r="B39" s="46"/>
      <c r="C39" s="49"/>
      <c r="F39" s="307">
        <v>0</v>
      </c>
      <c r="G39" s="307">
        <v>0</v>
      </c>
      <c r="H39" s="307">
        <v>0</v>
      </c>
      <c r="I39" s="307">
        <v>0.82</v>
      </c>
      <c r="J39" s="307">
        <v>2.49</v>
      </c>
      <c r="K39" s="307">
        <v>3.89</v>
      </c>
      <c r="L39" s="307">
        <v>0.8</v>
      </c>
      <c r="M39" s="307">
        <v>1.95</v>
      </c>
      <c r="N39" s="307">
        <v>1.65</v>
      </c>
      <c r="O39" s="307">
        <v>0.91</v>
      </c>
      <c r="P39" s="307">
        <v>0.01</v>
      </c>
      <c r="Q39" s="307">
        <v>0</v>
      </c>
      <c r="R39" s="49">
        <f>SUM(F39:Q39)</f>
        <v>12.52</v>
      </c>
      <c r="V39" s="49"/>
      <c r="W39" s="49"/>
      <c r="X39" s="49"/>
      <c r="Y39" s="52"/>
      <c r="Z39" s="49"/>
      <c r="AA39" s="49"/>
      <c r="AB39" s="49"/>
      <c r="AC39" s="49"/>
      <c r="AD39" s="49"/>
      <c r="AE39" s="52"/>
      <c r="AF39" s="49"/>
      <c r="AG39" s="49"/>
    </row>
    <row r="40" spans="1:33" ht="15.75">
      <c r="A40" s="46" t="s">
        <v>100</v>
      </c>
      <c r="B40" s="46"/>
      <c r="C40" s="49"/>
      <c r="F40" s="49">
        <f aca="true" t="shared" si="26" ref="F40:Q40">F39/$R39</f>
        <v>0</v>
      </c>
      <c r="G40" s="49">
        <f t="shared" si="26"/>
        <v>0</v>
      </c>
      <c r="H40" s="49">
        <f t="shared" si="26"/>
        <v>0</v>
      </c>
      <c r="I40" s="49">
        <f t="shared" si="26"/>
        <v>0.06549520766773163</v>
      </c>
      <c r="J40" s="49">
        <f t="shared" si="26"/>
        <v>0.19888178913738022</v>
      </c>
      <c r="K40" s="49">
        <f t="shared" si="26"/>
        <v>0.31070287539936103</v>
      </c>
      <c r="L40" s="49">
        <f t="shared" si="26"/>
        <v>0.06389776357827477</v>
      </c>
      <c r="M40" s="49">
        <f t="shared" si="26"/>
        <v>0.15575079872204473</v>
      </c>
      <c r="N40" s="49">
        <f t="shared" si="26"/>
        <v>0.13178913738019168</v>
      </c>
      <c r="O40" s="49">
        <f t="shared" si="26"/>
        <v>0.07268370607028754</v>
      </c>
      <c r="P40" s="49">
        <f t="shared" si="26"/>
        <v>0.0007987220447284346</v>
      </c>
      <c r="Q40" s="49">
        <f t="shared" si="26"/>
        <v>0</v>
      </c>
      <c r="R40" s="49">
        <f>SUM(F40:Q40)</f>
        <v>1.0000000000000002</v>
      </c>
      <c r="V40" s="49"/>
      <c r="W40" s="49"/>
      <c r="X40" s="49"/>
      <c r="Y40" s="52"/>
      <c r="Z40" s="49"/>
      <c r="AA40" s="49"/>
      <c r="AB40" s="49"/>
      <c r="AC40" s="49"/>
      <c r="AD40" s="49"/>
      <c r="AE40" s="52"/>
      <c r="AF40" s="49"/>
      <c r="AG40" s="49"/>
    </row>
    <row r="41" spans="1:33" ht="15.75" thickBot="1">
      <c r="A41" s="46"/>
      <c r="B41" s="46"/>
      <c r="C41" s="49"/>
      <c r="F41" s="49"/>
      <c r="G41" s="52"/>
      <c r="H41" s="49"/>
      <c r="I41" s="49"/>
      <c r="J41" s="49"/>
      <c r="K41" s="49"/>
      <c r="L41" s="49"/>
      <c r="M41" s="52"/>
      <c r="N41" s="49"/>
      <c r="O41" s="49"/>
      <c r="P41" s="49"/>
      <c r="Q41" s="49"/>
      <c r="R41" s="49"/>
      <c r="S41" s="52"/>
      <c r="T41" s="49"/>
      <c r="V41" s="49"/>
      <c r="W41" s="49"/>
      <c r="X41" s="49"/>
      <c r="Y41" s="52"/>
      <c r="Z41" s="49"/>
      <c r="AA41" s="49"/>
      <c r="AB41" s="49"/>
      <c r="AC41" s="49"/>
      <c r="AD41" s="49"/>
      <c r="AE41" s="52"/>
      <c r="AF41" s="49"/>
      <c r="AG41" s="49"/>
    </row>
    <row r="42" spans="1:33" s="137" customFormat="1" ht="15.75" thickBot="1">
      <c r="A42" s="136" t="s">
        <v>197</v>
      </c>
      <c r="B42" s="136"/>
      <c r="F42" s="340">
        <v>11.45</v>
      </c>
      <c r="G42" s="145" t="s">
        <v>10</v>
      </c>
      <c r="Z42" s="136"/>
      <c r="AA42" s="136"/>
      <c r="AB42" s="136"/>
      <c r="AC42" s="136"/>
      <c r="AD42" s="136"/>
      <c r="AE42" s="144"/>
      <c r="AF42" s="136"/>
      <c r="AG42" s="136"/>
    </row>
    <row r="43" spans="1:33" ht="15.75">
      <c r="A43" s="46"/>
      <c r="B43" s="46"/>
      <c r="C43" s="49"/>
      <c r="F43" s="53" t="s">
        <v>89</v>
      </c>
      <c r="G43" s="53" t="s">
        <v>90</v>
      </c>
      <c r="H43" s="53" t="s">
        <v>91</v>
      </c>
      <c r="I43" s="53" t="s">
        <v>92</v>
      </c>
      <c r="J43" s="53" t="s">
        <v>23</v>
      </c>
      <c r="K43" s="53" t="s">
        <v>93</v>
      </c>
      <c r="L43" s="53" t="s">
        <v>94</v>
      </c>
      <c r="M43" s="53" t="s">
        <v>95</v>
      </c>
      <c r="N43" s="53" t="s">
        <v>96</v>
      </c>
      <c r="O43" s="53" t="s">
        <v>97</v>
      </c>
      <c r="P43" s="53" t="s">
        <v>98</v>
      </c>
      <c r="Q43" s="53" t="s">
        <v>99</v>
      </c>
      <c r="R43" s="53" t="s">
        <v>73</v>
      </c>
      <c r="V43" s="49"/>
      <c r="W43" s="49"/>
      <c r="X43" s="49"/>
      <c r="Y43" s="52"/>
      <c r="Z43" s="49"/>
      <c r="AA43" s="49"/>
      <c r="AB43" s="49"/>
      <c r="AC43" s="49"/>
      <c r="AD43" s="49"/>
      <c r="AE43" s="52"/>
      <c r="AF43" s="49"/>
      <c r="AG43" s="49"/>
    </row>
    <row r="44" spans="1:33" ht="15.75">
      <c r="A44" s="46"/>
      <c r="B44" s="46"/>
      <c r="C44" s="49"/>
      <c r="F44" s="53"/>
      <c r="G44" s="50"/>
      <c r="H44" s="50"/>
      <c r="I44" s="53"/>
      <c r="J44" s="50"/>
      <c r="K44" s="50"/>
      <c r="L44" s="50"/>
      <c r="M44" s="50"/>
      <c r="N44" s="53"/>
      <c r="O44" s="50"/>
      <c r="P44" s="53"/>
      <c r="Q44" s="50"/>
      <c r="R44" s="53"/>
      <c r="V44" s="49"/>
      <c r="W44" s="49"/>
      <c r="X44" s="49"/>
      <c r="Y44" s="52"/>
      <c r="Z44" s="49"/>
      <c r="AA44" s="49"/>
      <c r="AB44" s="49"/>
      <c r="AC44" s="49"/>
      <c r="AD44" s="49"/>
      <c r="AE44" s="52"/>
      <c r="AF44" s="49"/>
      <c r="AG44" s="49"/>
    </row>
    <row r="45" spans="1:33" ht="15.75">
      <c r="A45" s="46" t="s">
        <v>7</v>
      </c>
      <c r="B45" s="46"/>
      <c r="C45" s="49"/>
      <c r="F45" s="49">
        <f aca="true" t="shared" si="27" ref="F45:Q45">F40*$F42</f>
        <v>0</v>
      </c>
      <c r="G45" s="49">
        <f t="shared" si="27"/>
        <v>0</v>
      </c>
      <c r="H45" s="49">
        <f t="shared" si="27"/>
        <v>0</v>
      </c>
      <c r="I45" s="49">
        <f t="shared" si="27"/>
        <v>0.7499201277955272</v>
      </c>
      <c r="J45" s="49">
        <f t="shared" si="27"/>
        <v>2.2771964856230036</v>
      </c>
      <c r="K45" s="49">
        <f t="shared" si="27"/>
        <v>3.5575479233226837</v>
      </c>
      <c r="L45" s="49">
        <f t="shared" si="27"/>
        <v>0.7316293929712461</v>
      </c>
      <c r="M45" s="49">
        <f t="shared" si="27"/>
        <v>1.783346645367412</v>
      </c>
      <c r="N45" s="49">
        <f t="shared" si="27"/>
        <v>1.5089856230031946</v>
      </c>
      <c r="O45" s="49">
        <f t="shared" si="27"/>
        <v>0.8322284345047923</v>
      </c>
      <c r="P45" s="49">
        <f t="shared" si="27"/>
        <v>0.009145367412140575</v>
      </c>
      <c r="Q45" s="49">
        <f t="shared" si="27"/>
        <v>0</v>
      </c>
      <c r="R45" s="49">
        <f>SUM(F45:Q45)</f>
        <v>11.45</v>
      </c>
      <c r="V45" s="49"/>
      <c r="W45" s="49"/>
      <c r="Y45" s="52"/>
      <c r="Z45" s="49"/>
      <c r="AA45" s="49"/>
      <c r="AB45" s="49"/>
      <c r="AC45" s="49"/>
      <c r="AD45" s="49"/>
      <c r="AE45" s="52"/>
      <c r="AF45" s="49"/>
      <c r="AG45" s="49"/>
    </row>
    <row r="46" spans="1:33" ht="15.75">
      <c r="A46" s="46" t="s">
        <v>6</v>
      </c>
      <c r="B46" s="46"/>
      <c r="C46" s="49"/>
      <c r="F46" s="49">
        <f aca="true" t="shared" si="28" ref="F46:Q46">F45/12</f>
        <v>0</v>
      </c>
      <c r="G46" s="49">
        <f t="shared" si="28"/>
        <v>0</v>
      </c>
      <c r="H46" s="49">
        <f t="shared" si="28"/>
        <v>0</v>
      </c>
      <c r="I46" s="49">
        <f t="shared" si="28"/>
        <v>0.0624933439829606</v>
      </c>
      <c r="J46" s="49">
        <f t="shared" si="28"/>
        <v>0.18976637380191697</v>
      </c>
      <c r="K46" s="49">
        <f t="shared" si="28"/>
        <v>0.29646232694355695</v>
      </c>
      <c r="L46" s="49">
        <f t="shared" si="28"/>
        <v>0.06096911608093717</v>
      </c>
      <c r="M46" s="49">
        <f t="shared" si="28"/>
        <v>0.14861222044728434</v>
      </c>
      <c r="N46" s="49">
        <f t="shared" si="28"/>
        <v>0.12574880191693288</v>
      </c>
      <c r="O46" s="49">
        <f t="shared" si="28"/>
        <v>0.06935236954206603</v>
      </c>
      <c r="P46" s="49">
        <f t="shared" si="28"/>
        <v>0.0007621139510117146</v>
      </c>
      <c r="Q46" s="49">
        <f t="shared" si="28"/>
        <v>0</v>
      </c>
      <c r="R46" s="49">
        <f>SUM(F46:Q46)</f>
        <v>0.9541666666666665</v>
      </c>
      <c r="U46" s="112"/>
      <c r="V46" s="49"/>
      <c r="W46" s="49"/>
      <c r="X46" s="49"/>
      <c r="Y46" s="52"/>
      <c r="Z46" s="49"/>
      <c r="AA46" s="49"/>
      <c r="AB46" s="49"/>
      <c r="AC46" s="49"/>
      <c r="AD46" s="49"/>
      <c r="AE46" s="52"/>
      <c r="AF46" s="49"/>
      <c r="AG46" s="49"/>
    </row>
    <row r="52" spans="1:2" ht="15.75">
      <c r="A52" s="178"/>
      <c r="B52" s="112"/>
    </row>
    <row r="53" spans="1:2" ht="15.75">
      <c r="A53" s="51"/>
      <c r="B53" s="112"/>
    </row>
    <row r="54" spans="1:2" ht="15.75">
      <c r="A54" s="51"/>
      <c r="B54" s="112"/>
    </row>
    <row r="55" spans="1:2" ht="15.75">
      <c r="A55" s="51"/>
      <c r="B55" s="112"/>
    </row>
    <row r="56" spans="1:2" ht="15.75">
      <c r="A56" s="51"/>
      <c r="B56" s="112"/>
    </row>
    <row r="57" spans="1:2" ht="15.75">
      <c r="A57" s="51"/>
      <c r="B57" s="112"/>
    </row>
    <row r="58" spans="1:2" ht="15.75">
      <c r="A58" s="51"/>
      <c r="B58" s="112"/>
    </row>
    <row r="59" spans="1:2" ht="15.75">
      <c r="A59" s="51"/>
      <c r="B59" s="112"/>
    </row>
    <row r="60" spans="1:2" ht="15.75">
      <c r="A60" s="51"/>
      <c r="B60" s="112"/>
    </row>
    <row r="61" spans="1:2" ht="15.75">
      <c r="A61" s="51"/>
      <c r="B61" s="112"/>
    </row>
    <row r="62" spans="1:2" ht="15.75">
      <c r="A62" s="51"/>
      <c r="B62" s="112"/>
    </row>
    <row r="63" spans="1:2" ht="15.75">
      <c r="A63" s="54"/>
      <c r="B63" s="112"/>
    </row>
  </sheetData>
  <sheetProtection password="CC93" sheet="1" objects="1" scenarios="1"/>
  <mergeCells count="10">
    <mergeCell ref="F27:K27"/>
    <mergeCell ref="L27:Q27"/>
    <mergeCell ref="S27:X27"/>
    <mergeCell ref="A3:C3"/>
    <mergeCell ref="K6:P6"/>
    <mergeCell ref="Q6:V6"/>
    <mergeCell ref="W6:AB6"/>
    <mergeCell ref="AJ6:AN6"/>
    <mergeCell ref="E6:J6"/>
    <mergeCell ref="AC6:AH6"/>
  </mergeCells>
  <printOptions gridLines="1" horizontalCentered="1"/>
  <pageMargins left="0.75" right="0.25" top="0.75" bottom="0.75" header="0.5" footer="0.5"/>
  <pageSetup fitToHeight="1" fitToWidth="1" horizontalDpi="600" verticalDpi="600" orientation="landscape" paperSize="17" scale="54" r:id="rId3"/>
  <headerFooter alignWithMargins="0">
    <oddHeader>&amp;L&amp;D</oddHeader>
    <oddFooter>&amp;L&amp;F&amp;R&amp;A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62"/>
  <sheetViews>
    <sheetView zoomScale="75" zoomScaleNormal="75" zoomScaleSheetLayoutView="75" zoomScalePageLayoutView="0" workbookViewId="0" topLeftCell="A1">
      <selection activeCell="A7" sqref="A7"/>
    </sheetView>
  </sheetViews>
  <sheetFormatPr defaultColWidth="9.140625" defaultRowHeight="12.75"/>
  <cols>
    <col min="1" max="1" width="28.7109375" style="110" customWidth="1"/>
    <col min="2" max="41" width="10.57421875" style="110" customWidth="1"/>
    <col min="42" max="207" width="9.7109375" style="110" customWidth="1"/>
    <col min="208" max="16384" width="9.140625" style="110" customWidth="1"/>
  </cols>
  <sheetData>
    <row r="1" spans="1:33" ht="18">
      <c r="A1" s="109" t="s">
        <v>32</v>
      </c>
      <c r="B1" s="109"/>
      <c r="C1" s="49" t="s">
        <v>266</v>
      </c>
      <c r="D1" s="49"/>
      <c r="E1" s="49"/>
      <c r="F1" s="49"/>
      <c r="G1" s="52"/>
      <c r="H1" s="49"/>
      <c r="I1" s="49"/>
      <c r="J1" s="49"/>
      <c r="K1" s="49"/>
      <c r="L1" s="49"/>
      <c r="M1" s="52"/>
      <c r="O1" s="46"/>
      <c r="P1" s="46"/>
      <c r="Q1" s="46"/>
      <c r="R1" s="49"/>
      <c r="S1" s="52"/>
      <c r="T1" s="49"/>
      <c r="U1" s="49"/>
      <c r="V1" s="49"/>
      <c r="W1" s="49"/>
      <c r="X1" s="49"/>
      <c r="Y1" s="52"/>
      <c r="Z1" s="49"/>
      <c r="AA1" s="49"/>
      <c r="AB1" s="49"/>
      <c r="AC1" s="49"/>
      <c r="AD1" s="49"/>
      <c r="AE1" s="52"/>
      <c r="AF1" s="49"/>
      <c r="AG1" s="49"/>
    </row>
    <row r="2" spans="1:45" s="112" customFormat="1" ht="16.5" customHeight="1">
      <c r="A2" s="46" t="s">
        <v>264</v>
      </c>
      <c r="B2" s="46"/>
      <c r="C2" s="128"/>
      <c r="D2" s="123"/>
      <c r="E2" s="123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61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</row>
    <row r="3" spans="1:33" s="118" customFormat="1" ht="18">
      <c r="A3" s="392" t="s">
        <v>168</v>
      </c>
      <c r="B3" s="392"/>
      <c r="C3" s="393"/>
      <c r="D3" s="46">
        <v>0.41</v>
      </c>
      <c r="E3" s="49" t="s">
        <v>171</v>
      </c>
      <c r="G3" s="52"/>
      <c r="H3" s="49"/>
      <c r="I3" s="49"/>
      <c r="J3" s="49"/>
      <c r="K3" s="49"/>
      <c r="L3" s="46"/>
      <c r="M3" s="52"/>
      <c r="N3" s="49"/>
      <c r="O3" s="49"/>
      <c r="P3" s="49"/>
      <c r="Q3" s="49"/>
      <c r="R3" s="46"/>
      <c r="S3" s="52"/>
      <c r="T3" s="49"/>
      <c r="U3" s="49"/>
      <c r="X3" s="113"/>
      <c r="Y3" s="52"/>
      <c r="Z3" s="49"/>
      <c r="AA3" s="49"/>
      <c r="AB3" s="49"/>
      <c r="AC3" s="49"/>
      <c r="AD3" s="46"/>
      <c r="AE3" s="52"/>
      <c r="AF3" s="49"/>
      <c r="AG3" s="49"/>
    </row>
    <row r="4" spans="1:33" ht="18">
      <c r="A4" s="117" t="s">
        <v>210</v>
      </c>
      <c r="B4" s="117"/>
      <c r="C4" s="112"/>
      <c r="F4" s="46"/>
      <c r="G4" s="50"/>
      <c r="H4" s="46"/>
      <c r="I4" s="46"/>
      <c r="J4" s="46"/>
      <c r="K4" s="46"/>
      <c r="L4" s="46"/>
      <c r="M4" s="50"/>
      <c r="N4" s="46"/>
      <c r="O4" s="46"/>
      <c r="P4" s="46"/>
      <c r="Q4" s="46"/>
      <c r="R4" s="46"/>
      <c r="S4" s="50"/>
      <c r="T4" s="46"/>
      <c r="U4" s="46"/>
      <c r="V4" s="49"/>
      <c r="W4" s="49"/>
      <c r="X4" s="49"/>
      <c r="Y4" s="52"/>
      <c r="Z4" s="46"/>
      <c r="AG4" s="49"/>
    </row>
    <row r="5" spans="1:41" s="61" customFormat="1" ht="18">
      <c r="A5" s="133" t="s">
        <v>194</v>
      </c>
      <c r="B5" s="133"/>
      <c r="C5" s="111"/>
      <c r="D5" s="111"/>
      <c r="E5" s="111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19"/>
      <c r="AH5" s="111"/>
      <c r="AI5" s="111"/>
      <c r="AJ5" s="111"/>
      <c r="AK5" s="111"/>
      <c r="AL5" s="111"/>
      <c r="AM5" s="111"/>
      <c r="AN5" s="111"/>
      <c r="AO5" s="111"/>
    </row>
    <row r="6" spans="1:49" s="49" customFormat="1" ht="15.75" customHeight="1">
      <c r="A6" s="50"/>
      <c r="B6" s="50"/>
      <c r="D6" s="50"/>
      <c r="E6" s="390" t="s">
        <v>202</v>
      </c>
      <c r="F6" s="390"/>
      <c r="G6" s="390"/>
      <c r="H6" s="390"/>
      <c r="I6" s="390"/>
      <c r="J6" s="390"/>
      <c r="K6" s="394" t="s">
        <v>203</v>
      </c>
      <c r="L6" s="394"/>
      <c r="M6" s="394"/>
      <c r="N6" s="394"/>
      <c r="O6" s="394"/>
      <c r="P6" s="394"/>
      <c r="Q6" s="395" t="s">
        <v>204</v>
      </c>
      <c r="R6" s="395"/>
      <c r="S6" s="395"/>
      <c r="T6" s="395"/>
      <c r="U6" s="395"/>
      <c r="V6" s="395"/>
      <c r="W6" s="394" t="s">
        <v>5</v>
      </c>
      <c r="X6" s="394"/>
      <c r="Y6" s="394"/>
      <c r="Z6" s="394"/>
      <c r="AA6" s="394"/>
      <c r="AB6" s="394"/>
      <c r="AC6" s="395" t="s">
        <v>33</v>
      </c>
      <c r="AD6" s="395"/>
      <c r="AE6" s="395"/>
      <c r="AF6" s="395"/>
      <c r="AG6" s="395"/>
      <c r="AH6" s="395"/>
      <c r="AI6" s="394" t="s">
        <v>205</v>
      </c>
      <c r="AJ6" s="394"/>
      <c r="AK6" s="394"/>
      <c r="AL6" s="394"/>
      <c r="AM6" s="394"/>
      <c r="AN6" s="394"/>
      <c r="AO6" s="132"/>
      <c r="AP6" s="132"/>
      <c r="AQ6" s="132"/>
      <c r="AR6" s="61"/>
      <c r="AS6" s="61"/>
      <c r="AT6" s="61"/>
      <c r="AU6" s="61"/>
      <c r="AV6" s="61"/>
      <c r="AW6" s="61"/>
    </row>
    <row r="7" spans="6:48" s="122" customFormat="1" ht="15">
      <c r="F7" s="54"/>
      <c r="G7" s="115" t="s">
        <v>191</v>
      </c>
      <c r="H7" s="115"/>
      <c r="I7" s="115"/>
      <c r="L7" s="338">
        <v>0</v>
      </c>
      <c r="M7" s="115" t="s">
        <v>191</v>
      </c>
      <c r="N7" s="115"/>
      <c r="O7" s="115"/>
      <c r="R7" s="338">
        <v>0</v>
      </c>
      <c r="S7" s="115" t="s">
        <v>191</v>
      </c>
      <c r="T7" s="115"/>
      <c r="U7" s="115"/>
      <c r="X7" s="338">
        <v>1.1</v>
      </c>
      <c r="Y7" s="115" t="s">
        <v>191</v>
      </c>
      <c r="Z7" s="115"/>
      <c r="AA7" s="115"/>
      <c r="AD7" s="338">
        <v>2.14</v>
      </c>
      <c r="AE7" s="115" t="s">
        <v>191</v>
      </c>
      <c r="AF7" s="115"/>
      <c r="AG7" s="115"/>
      <c r="AJ7" s="338">
        <v>2.9</v>
      </c>
      <c r="AK7" s="115" t="s">
        <v>191</v>
      </c>
      <c r="AL7" s="115"/>
      <c r="AM7" s="115"/>
      <c r="AO7" s="54"/>
      <c r="AP7" s="115"/>
      <c r="AQ7" s="115"/>
      <c r="AR7" s="115"/>
      <c r="AV7" s="115"/>
    </row>
    <row r="8" spans="6:48" s="122" customFormat="1" ht="15">
      <c r="F8" s="54"/>
      <c r="G8" s="115" t="s">
        <v>212</v>
      </c>
      <c r="H8" s="115"/>
      <c r="I8" s="115"/>
      <c r="L8" s="54">
        <v>0</v>
      </c>
      <c r="M8" s="115" t="s">
        <v>212</v>
      </c>
      <c r="N8" s="115"/>
      <c r="O8" s="115"/>
      <c r="R8" s="54">
        <v>0</v>
      </c>
      <c r="S8" s="115" t="s">
        <v>212</v>
      </c>
      <c r="T8" s="115"/>
      <c r="U8" s="115"/>
      <c r="X8" s="54">
        <v>0</v>
      </c>
      <c r="Y8" s="115" t="s">
        <v>212</v>
      </c>
      <c r="Z8" s="115"/>
      <c r="AA8" s="115"/>
      <c r="AD8" s="54">
        <v>0</v>
      </c>
      <c r="AE8" s="115" t="s">
        <v>212</v>
      </c>
      <c r="AF8" s="115"/>
      <c r="AG8" s="115"/>
      <c r="AJ8" s="54">
        <v>0</v>
      </c>
      <c r="AK8" s="115" t="s">
        <v>212</v>
      </c>
      <c r="AL8" s="115"/>
      <c r="AM8" s="115"/>
      <c r="AO8" s="54"/>
      <c r="AP8" s="115"/>
      <c r="AQ8" s="115"/>
      <c r="AR8" s="115"/>
      <c r="AV8" s="112"/>
    </row>
    <row r="9" spans="3:37" s="112" customFormat="1" ht="15">
      <c r="C9" s="130"/>
      <c r="D9" s="49"/>
      <c r="E9" s="49"/>
      <c r="G9" s="112" t="s">
        <v>200</v>
      </c>
      <c r="J9" s="49"/>
      <c r="K9" s="49"/>
      <c r="L9" s="341">
        <v>48.86</v>
      </c>
      <c r="M9" s="112" t="s">
        <v>200</v>
      </c>
      <c r="P9" s="49"/>
      <c r="Q9" s="49"/>
      <c r="R9" s="341">
        <v>0</v>
      </c>
      <c r="S9" s="112" t="s">
        <v>200</v>
      </c>
      <c r="V9" s="49"/>
      <c r="W9" s="49"/>
      <c r="X9" s="341">
        <v>71.52</v>
      </c>
      <c r="Y9" s="112" t="s">
        <v>200</v>
      </c>
      <c r="AB9" s="49"/>
      <c r="AC9" s="49"/>
      <c r="AD9" s="341">
        <v>201.57</v>
      </c>
      <c r="AE9" s="112" t="s">
        <v>200</v>
      </c>
      <c r="AJ9" s="341">
        <v>33.28</v>
      </c>
      <c r="AK9" s="112" t="s">
        <v>200</v>
      </c>
    </row>
    <row r="10" spans="3:37" s="112" customFormat="1" ht="15">
      <c r="C10" s="130"/>
      <c r="F10" s="54"/>
      <c r="G10" s="49" t="s">
        <v>201</v>
      </c>
      <c r="H10" s="49"/>
      <c r="I10" s="49"/>
      <c r="L10" s="54">
        <f>SUM(L7:L9)</f>
        <v>48.86</v>
      </c>
      <c r="M10" s="49" t="s">
        <v>201</v>
      </c>
      <c r="N10" s="49"/>
      <c r="O10" s="49"/>
      <c r="R10" s="54">
        <f>SUM(R7:R9)</f>
        <v>0</v>
      </c>
      <c r="S10" s="49" t="s">
        <v>201</v>
      </c>
      <c r="T10" s="49"/>
      <c r="U10" s="49"/>
      <c r="X10" s="54">
        <f>SUM(X7:X9)</f>
        <v>72.61999999999999</v>
      </c>
      <c r="Y10" s="49" t="s">
        <v>201</v>
      </c>
      <c r="Z10" s="49"/>
      <c r="AA10" s="49"/>
      <c r="AD10" s="54">
        <f>SUM(AD7:AD9)</f>
        <v>203.70999999999998</v>
      </c>
      <c r="AE10" s="49" t="s">
        <v>201</v>
      </c>
      <c r="AF10" s="49"/>
      <c r="AJ10" s="54">
        <f>SUM(AJ7:AJ9)</f>
        <v>36.18</v>
      </c>
      <c r="AK10" s="49" t="s">
        <v>201</v>
      </c>
    </row>
    <row r="11" spans="1:45" s="127" customFormat="1" ht="93.75" customHeight="1">
      <c r="A11" s="125" t="s">
        <v>88</v>
      </c>
      <c r="B11" s="50" t="s">
        <v>265</v>
      </c>
      <c r="C11" s="124" t="s">
        <v>206</v>
      </c>
      <c r="D11" s="126" t="s">
        <v>196</v>
      </c>
      <c r="E11" s="125" t="s">
        <v>19</v>
      </c>
      <c r="F11" s="126" t="s">
        <v>362</v>
      </c>
      <c r="G11" s="126" t="s">
        <v>217</v>
      </c>
      <c r="H11" s="126" t="s">
        <v>192</v>
      </c>
      <c r="I11" s="126" t="s">
        <v>195</v>
      </c>
      <c r="J11" s="124" t="s">
        <v>297</v>
      </c>
      <c r="K11" s="125" t="s">
        <v>19</v>
      </c>
      <c r="L11" s="126" t="s">
        <v>362</v>
      </c>
      <c r="M11" s="126" t="s">
        <v>217</v>
      </c>
      <c r="N11" s="126" t="s">
        <v>192</v>
      </c>
      <c r="O11" s="126" t="s">
        <v>195</v>
      </c>
      <c r="P11" s="124" t="s">
        <v>297</v>
      </c>
      <c r="Q11" s="125" t="s">
        <v>19</v>
      </c>
      <c r="R11" s="126" t="s">
        <v>362</v>
      </c>
      <c r="S11" s="126" t="s">
        <v>217</v>
      </c>
      <c r="T11" s="126" t="s">
        <v>192</v>
      </c>
      <c r="U11" s="126" t="s">
        <v>195</v>
      </c>
      <c r="V11" s="124" t="s">
        <v>297</v>
      </c>
      <c r="W11" s="125" t="s">
        <v>19</v>
      </c>
      <c r="X11" s="126" t="s">
        <v>362</v>
      </c>
      <c r="Y11" s="126" t="s">
        <v>217</v>
      </c>
      <c r="Z11" s="126" t="s">
        <v>192</v>
      </c>
      <c r="AA11" s="126" t="s">
        <v>195</v>
      </c>
      <c r="AB11" s="124" t="s">
        <v>297</v>
      </c>
      <c r="AC11" s="125" t="s">
        <v>19</v>
      </c>
      <c r="AD11" s="126" t="s">
        <v>362</v>
      </c>
      <c r="AE11" s="126" t="s">
        <v>217</v>
      </c>
      <c r="AF11" s="126" t="s">
        <v>192</v>
      </c>
      <c r="AG11" s="126" t="s">
        <v>195</v>
      </c>
      <c r="AH11" s="124" t="s">
        <v>297</v>
      </c>
      <c r="AI11" s="125" t="s">
        <v>19</v>
      </c>
      <c r="AJ11" s="126" t="s">
        <v>362</v>
      </c>
      <c r="AK11" s="126" t="s">
        <v>217</v>
      </c>
      <c r="AL11" s="126" t="s">
        <v>192</v>
      </c>
      <c r="AM11" s="126" t="s">
        <v>195</v>
      </c>
      <c r="AN11" s="124" t="s">
        <v>297</v>
      </c>
      <c r="AO11" s="126"/>
      <c r="AP11" s="126"/>
      <c r="AQ11" s="126"/>
      <c r="AR11" s="126"/>
      <c r="AS11" s="124"/>
    </row>
    <row r="12" spans="1:45" s="127" customFormat="1" ht="15.75" customHeight="1">
      <c r="A12" s="55" t="s">
        <v>180</v>
      </c>
      <c r="B12" s="54">
        <f>F46/$D$3</f>
        <v>0.021554607203082457</v>
      </c>
      <c r="C12" s="179">
        <f>2.21/12</f>
        <v>0.18416666666666667</v>
      </c>
      <c r="D12" s="338">
        <f>0/12</f>
        <v>0</v>
      </c>
      <c r="E12" s="126"/>
      <c r="F12" s="126"/>
      <c r="G12" s="126"/>
      <c r="H12" s="126"/>
      <c r="I12" s="126"/>
      <c r="J12" s="124"/>
      <c r="K12" s="50"/>
      <c r="L12" s="54">
        <f aca="true" t="shared" si="0" ref="L12:L23">$L$7*(IF($C12-$D12&lt;0,0,ABS($C12-$D12)))</f>
        <v>0</v>
      </c>
      <c r="M12" s="54">
        <f aca="true" t="shared" si="1" ref="M12:M23">L12/$D$3</f>
        <v>0</v>
      </c>
      <c r="N12" s="49">
        <f>L$9*$B12</f>
        <v>1.053158107942609</v>
      </c>
      <c r="O12" s="54">
        <f>M12+N12</f>
        <v>1.053158107942609</v>
      </c>
      <c r="P12" s="338">
        <v>0</v>
      </c>
      <c r="Q12" s="50"/>
      <c r="R12" s="54">
        <f>R$7*(IF($C12-$D12&lt;0,0,ABS($C12-$D12)))</f>
        <v>0</v>
      </c>
      <c r="S12" s="54">
        <f aca="true" t="shared" si="2" ref="S12:S23">R12/$D$3</f>
        <v>0</v>
      </c>
      <c r="T12" s="49">
        <f>R$9*$B12</f>
        <v>0</v>
      </c>
      <c r="U12" s="54">
        <f>S12+T12</f>
        <v>0</v>
      </c>
      <c r="V12" s="338">
        <v>0</v>
      </c>
      <c r="W12" s="50"/>
      <c r="X12" s="54">
        <f aca="true" t="shared" si="3" ref="X12:X23">$X$7*(IF($C12-$D12&lt;0,0,ABS($C12-$D12)))</f>
        <v>0.20258333333333337</v>
      </c>
      <c r="Y12" s="54">
        <f aca="true" t="shared" si="4" ref="Y12:Y23">X12/$D$3</f>
        <v>0.49410569105691066</v>
      </c>
      <c r="Z12" s="49">
        <f>X$9*$B12</f>
        <v>1.5415855071644573</v>
      </c>
      <c r="AA12" s="54">
        <f>Y12+Z12</f>
        <v>2.035691198221368</v>
      </c>
      <c r="AB12" s="338">
        <v>0</v>
      </c>
      <c r="AC12" s="334">
        <v>2.766822693640154</v>
      </c>
      <c r="AD12" s="54">
        <f aca="true" t="shared" si="5" ref="AD12:AD23">$AD$7*(IF($C12-$D12&lt;0,0,ABS($C12-$D12)))</f>
        <v>0.3941166666666667</v>
      </c>
      <c r="AE12" s="54">
        <f>AD12/$D$3</f>
        <v>0.9612601626016262</v>
      </c>
      <c r="AF12" s="49">
        <f>AD$9*$B12</f>
        <v>4.34476217392533</v>
      </c>
      <c r="AG12" s="54">
        <f>AE12+AF12</f>
        <v>5.306022336526956</v>
      </c>
      <c r="AH12" s="338">
        <v>0</v>
      </c>
      <c r="AI12" s="50"/>
      <c r="AJ12" s="54">
        <f aca="true" t="shared" si="6" ref="AJ12:AJ23">$AJ$7*(IF($C12-$D12&lt;0,0,ABS($C12-$D12)))</f>
        <v>0.5340833333333334</v>
      </c>
      <c r="AK12" s="54">
        <f aca="true" t="shared" si="7" ref="AK12:AK23">AJ12/$D$3</f>
        <v>1.3026422764227643</v>
      </c>
      <c r="AL12" s="49">
        <f>AJ$9*$B12</f>
        <v>0.7173373277185842</v>
      </c>
      <c r="AM12" s="54">
        <f>AK12+AL12</f>
        <v>2.0199796041413487</v>
      </c>
      <c r="AN12" s="338">
        <v>0</v>
      </c>
      <c r="AO12" s="126"/>
      <c r="AP12" s="126"/>
      <c r="AQ12" s="126"/>
      <c r="AR12" s="126"/>
      <c r="AS12" s="124"/>
    </row>
    <row r="13" spans="1:45" s="112" customFormat="1" ht="15.75" customHeight="1">
      <c r="A13" s="55" t="s">
        <v>21</v>
      </c>
      <c r="B13" s="54">
        <f>G46/$D$3</f>
        <v>0.13471629501926535</v>
      </c>
      <c r="C13" s="121">
        <f>2.92/12</f>
        <v>0.24333333333333332</v>
      </c>
      <c r="D13" s="338">
        <f>0.08/12</f>
        <v>0.006666666666666667</v>
      </c>
      <c r="E13" s="396" t="s">
        <v>181</v>
      </c>
      <c r="F13" s="397"/>
      <c r="G13" s="397"/>
      <c r="H13" s="397"/>
      <c r="I13" s="397"/>
      <c r="J13" s="397"/>
      <c r="K13" s="49"/>
      <c r="L13" s="54">
        <f t="shared" si="0"/>
        <v>0</v>
      </c>
      <c r="M13" s="54">
        <f t="shared" si="1"/>
        <v>0</v>
      </c>
      <c r="N13" s="49">
        <f>L$9*$B13</f>
        <v>6.582238174641305</v>
      </c>
      <c r="O13" s="54">
        <f>M13+N13</f>
        <v>6.582238174641305</v>
      </c>
      <c r="P13" s="338">
        <v>0</v>
      </c>
      <c r="Q13" s="49"/>
      <c r="R13" s="54">
        <f>R$7*(IF($C13-$D13&lt;0,0,ABS($C13-$D13)))</f>
        <v>0</v>
      </c>
      <c r="S13" s="54">
        <f t="shared" si="2"/>
        <v>0</v>
      </c>
      <c r="T13" s="49">
        <f>R$9*$B13</f>
        <v>0</v>
      </c>
      <c r="U13" s="54">
        <f>S13+T13</f>
        <v>0</v>
      </c>
      <c r="V13" s="338">
        <v>0</v>
      </c>
      <c r="W13" s="49"/>
      <c r="X13" s="54">
        <f t="shared" si="3"/>
        <v>0.26033333333333336</v>
      </c>
      <c r="Y13" s="54">
        <f t="shared" si="4"/>
        <v>0.6349593495934961</v>
      </c>
      <c r="Z13" s="49">
        <f>X$9*$B13</f>
        <v>9.634909419777857</v>
      </c>
      <c r="AA13" s="54">
        <f>Y13+Z13</f>
        <v>10.269868769371353</v>
      </c>
      <c r="AB13" s="338">
        <v>0</v>
      </c>
      <c r="AC13" s="307">
        <v>221.84645008104167</v>
      </c>
      <c r="AD13" s="54">
        <f t="shared" si="5"/>
        <v>0.5064666666666667</v>
      </c>
      <c r="AE13" s="54">
        <f>AD13/$D$3</f>
        <v>1.2352845528455287</v>
      </c>
      <c r="AF13" s="49">
        <f>AD$9*$B13</f>
        <v>27.154763587033315</v>
      </c>
      <c r="AG13" s="54">
        <f>AE13+AF13</f>
        <v>28.390048139878843</v>
      </c>
      <c r="AH13" s="338">
        <v>0</v>
      </c>
      <c r="AI13" s="302"/>
      <c r="AJ13" s="54">
        <f t="shared" si="6"/>
        <v>0.6863333333333334</v>
      </c>
      <c r="AK13" s="54">
        <f t="shared" si="7"/>
        <v>1.6739837398373985</v>
      </c>
      <c r="AL13" s="49">
        <f>AJ$9*$B13</f>
        <v>4.483358298241151</v>
      </c>
      <c r="AM13" s="54">
        <f>AK13+AL13</f>
        <v>6.157342038078549</v>
      </c>
      <c r="AN13" s="338">
        <v>0</v>
      </c>
      <c r="AO13" s="54"/>
      <c r="AP13" s="54"/>
      <c r="AQ13" s="121"/>
      <c r="AR13" s="54"/>
      <c r="AS13" s="54"/>
    </row>
    <row r="14" spans="1:45" s="112" customFormat="1" ht="15.75">
      <c r="A14" s="55" t="s">
        <v>20</v>
      </c>
      <c r="B14" s="54">
        <f>H46/$D$3</f>
        <v>0.1832141612262009</v>
      </c>
      <c r="C14" s="121">
        <f>6.12/12</f>
        <v>0.51</v>
      </c>
      <c r="D14" s="338">
        <f>0.99/12</f>
        <v>0.0825</v>
      </c>
      <c r="E14" s="397"/>
      <c r="F14" s="397"/>
      <c r="G14" s="397"/>
      <c r="H14" s="397"/>
      <c r="I14" s="397"/>
      <c r="J14" s="397"/>
      <c r="K14" s="328">
        <v>4.212497718229165</v>
      </c>
      <c r="L14" s="54">
        <f t="shared" si="0"/>
        <v>0</v>
      </c>
      <c r="M14" s="54">
        <f t="shared" si="1"/>
        <v>0</v>
      </c>
      <c r="N14" s="49">
        <f>L$9*$B14</f>
        <v>8.951843917512177</v>
      </c>
      <c r="O14" s="54">
        <f aca="true" t="shared" si="8" ref="O14:O23">M14+N14</f>
        <v>8.951843917512177</v>
      </c>
      <c r="P14" s="54">
        <f>IF(K14-O14&gt;0,0,ABS(K14-O14))</f>
        <v>4.739346199283012</v>
      </c>
      <c r="Q14" s="328">
        <v>0</v>
      </c>
      <c r="R14" s="54">
        <f>R$7*(IF($C14-$D14&lt;0,0,ABS($C14-$D14)))</f>
        <v>0</v>
      </c>
      <c r="S14" s="54">
        <f t="shared" si="2"/>
        <v>0</v>
      </c>
      <c r="T14" s="49">
        <f aca="true" t="shared" si="9" ref="T14:T22">R$9*$B14</f>
        <v>0</v>
      </c>
      <c r="U14" s="54">
        <f aca="true" t="shared" si="10" ref="U14:U22">S14+T14</f>
        <v>0</v>
      </c>
      <c r="V14" s="54">
        <f>IF(Q14-U14&gt;0,0,ABS(Q14-U14))</f>
        <v>0</v>
      </c>
      <c r="W14" s="328">
        <v>183.45950986068394</v>
      </c>
      <c r="X14" s="54">
        <f t="shared" si="3"/>
        <v>0.47025</v>
      </c>
      <c r="Y14" s="54">
        <f t="shared" si="4"/>
        <v>1.1469512195121951</v>
      </c>
      <c r="Z14" s="49">
        <f aca="true" t="shared" si="11" ref="Z14:Z22">X$9*$B14</f>
        <v>13.103476810897888</v>
      </c>
      <c r="AA14" s="54">
        <f aca="true" t="shared" si="12" ref="AA14:AA22">Y14+Z14</f>
        <v>14.250428030410083</v>
      </c>
      <c r="AB14" s="54">
        <f aca="true" t="shared" si="13" ref="AB14:AB21">IF(W14-AA14&gt;0,0,ABS(W14-AA14))</f>
        <v>0</v>
      </c>
      <c r="AC14" s="331">
        <v>357.8110871772918</v>
      </c>
      <c r="AD14" s="54">
        <f t="shared" si="5"/>
        <v>0.91485</v>
      </c>
      <c r="AE14" s="54">
        <f aca="true" t="shared" si="14" ref="AE14:AE23">AD14/$D$3</f>
        <v>2.2313414634146342</v>
      </c>
      <c r="AF14" s="49">
        <f aca="true" t="shared" si="15" ref="AF14:AF22">AD$9*$B14</f>
        <v>36.930478478365316</v>
      </c>
      <c r="AG14" s="54">
        <f aca="true" t="shared" si="16" ref="AG14:AG22">AE14+AF14</f>
        <v>39.16181994177995</v>
      </c>
      <c r="AH14" s="54">
        <f aca="true" t="shared" si="17" ref="AH14:AH22">IF(AC14-AG14&gt;0,0,ABS(AC14-AG14))</f>
        <v>0</v>
      </c>
      <c r="AI14" s="330">
        <v>187.8714138546963</v>
      </c>
      <c r="AJ14" s="54">
        <f t="shared" si="6"/>
        <v>1.23975</v>
      </c>
      <c r="AK14" s="54">
        <f t="shared" si="7"/>
        <v>3.023780487804878</v>
      </c>
      <c r="AL14" s="49">
        <f>AJ$9*$B14</f>
        <v>6.097367285607966</v>
      </c>
      <c r="AM14" s="54">
        <f>AK14+AL14</f>
        <v>9.121147773412844</v>
      </c>
      <c r="AN14" s="54">
        <f aca="true" t="shared" si="18" ref="AN14:AN22">IF(AI14-AM14&gt;0,0,ABS(AI14-AM14))</f>
        <v>0</v>
      </c>
      <c r="AO14" s="54"/>
      <c r="AP14" s="54"/>
      <c r="AQ14" s="121"/>
      <c r="AR14" s="54"/>
      <c r="AS14" s="54"/>
    </row>
    <row r="15" spans="1:45" s="112" customFormat="1" ht="15.75">
      <c r="A15" s="55" t="s">
        <v>22</v>
      </c>
      <c r="B15" s="54">
        <f>I46/$D$3</f>
        <v>0.4670164894001199</v>
      </c>
      <c r="C15" s="121">
        <f>7.97/12</f>
        <v>0.6641666666666667</v>
      </c>
      <c r="D15" s="338">
        <f>0.08/12</f>
        <v>0.006666666666666667</v>
      </c>
      <c r="E15" s="397"/>
      <c r="F15" s="397"/>
      <c r="G15" s="397"/>
      <c r="H15" s="397"/>
      <c r="I15" s="397"/>
      <c r="J15" s="397"/>
      <c r="K15" s="307">
        <v>379.51390600010393</v>
      </c>
      <c r="L15" s="54">
        <f t="shared" si="0"/>
        <v>0</v>
      </c>
      <c r="M15" s="54">
        <f t="shared" si="1"/>
        <v>0</v>
      </c>
      <c r="N15" s="49">
        <f aca="true" t="shared" si="19" ref="N15:N23">L$9*$B15</f>
        <v>22.81842567208986</v>
      </c>
      <c r="O15" s="54">
        <f t="shared" si="8"/>
        <v>22.81842567208986</v>
      </c>
      <c r="P15" s="54">
        <f aca="true" t="shared" si="20" ref="P15:P22">IF(K15-O15&gt;0,0,ABS(K15-O15))</f>
        <v>0</v>
      </c>
      <c r="Q15" s="307">
        <v>0</v>
      </c>
      <c r="R15" s="54">
        <f aca="true" t="shared" si="21" ref="R15:R22">R$7*(IF($C15-$D15&lt;0,0,ABS($C15-$D15)))</f>
        <v>0</v>
      </c>
      <c r="S15" s="54">
        <f t="shared" si="2"/>
        <v>0</v>
      </c>
      <c r="T15" s="49">
        <f t="shared" si="9"/>
        <v>0</v>
      </c>
      <c r="U15" s="54">
        <f t="shared" si="10"/>
        <v>0</v>
      </c>
      <c r="V15" s="54">
        <f aca="true" t="shared" si="22" ref="V15:V22">IF(Q15-U15&gt;0,0,ABS(Q15-U15))</f>
        <v>0</v>
      </c>
      <c r="W15" s="307">
        <v>442.6262065250001</v>
      </c>
      <c r="X15" s="54">
        <f t="shared" si="3"/>
        <v>0.7232500000000001</v>
      </c>
      <c r="Y15" s="54">
        <f t="shared" si="4"/>
        <v>1.7640243902439028</v>
      </c>
      <c r="Z15" s="49">
        <f t="shared" si="11"/>
        <v>33.40101932189658</v>
      </c>
      <c r="AA15" s="54">
        <f t="shared" si="12"/>
        <v>35.16504371214048</v>
      </c>
      <c r="AB15" s="54">
        <f t="shared" si="13"/>
        <v>0</v>
      </c>
      <c r="AC15" s="307">
        <v>520.2757512416671</v>
      </c>
      <c r="AD15" s="54">
        <f t="shared" si="5"/>
        <v>1.4070500000000001</v>
      </c>
      <c r="AE15" s="54">
        <f t="shared" si="14"/>
        <v>3.4318292682926836</v>
      </c>
      <c r="AF15" s="49">
        <f t="shared" si="15"/>
        <v>94.13651376838217</v>
      </c>
      <c r="AG15" s="54">
        <f t="shared" si="16"/>
        <v>97.56834303667486</v>
      </c>
      <c r="AH15" s="54">
        <f t="shared" si="17"/>
        <v>0</v>
      </c>
      <c r="AI15" s="331">
        <v>226.32004587780457</v>
      </c>
      <c r="AJ15" s="54">
        <f t="shared" si="6"/>
        <v>1.90675</v>
      </c>
      <c r="AK15" s="54">
        <f t="shared" si="7"/>
        <v>4.650609756097561</v>
      </c>
      <c r="AL15" s="49">
        <f aca="true" t="shared" si="23" ref="AL15:AL22">AJ$9*$B15</f>
        <v>15.54230876723599</v>
      </c>
      <c r="AM15" s="54">
        <f aca="true" t="shared" si="24" ref="AM15:AM22">AK15+AL15</f>
        <v>20.192918523333553</v>
      </c>
      <c r="AN15" s="54">
        <f t="shared" si="18"/>
        <v>0</v>
      </c>
      <c r="AO15" s="54"/>
      <c r="AP15" s="54"/>
      <c r="AQ15" s="121"/>
      <c r="AR15" s="54"/>
      <c r="AS15" s="54"/>
    </row>
    <row r="16" spans="1:45" s="112" customFormat="1" ht="15.75">
      <c r="A16" s="55" t="s">
        <v>23</v>
      </c>
      <c r="B16" s="54">
        <f>J46/$D$3</f>
        <v>0.7077096031678739</v>
      </c>
      <c r="C16" s="121">
        <f>9.18/12</f>
        <v>0.765</v>
      </c>
      <c r="D16" s="338">
        <f>0/12</f>
        <v>0</v>
      </c>
      <c r="E16" s="397"/>
      <c r="F16" s="397"/>
      <c r="G16" s="397"/>
      <c r="H16" s="397"/>
      <c r="I16" s="397"/>
      <c r="J16" s="397"/>
      <c r="K16" s="307">
        <v>226.94849277197898</v>
      </c>
      <c r="L16" s="54">
        <f t="shared" si="0"/>
        <v>0</v>
      </c>
      <c r="M16" s="54">
        <f t="shared" si="1"/>
        <v>0</v>
      </c>
      <c r="N16" s="49">
        <f t="shared" si="19"/>
        <v>34.57869121078232</v>
      </c>
      <c r="O16" s="54">
        <f t="shared" si="8"/>
        <v>34.57869121078232</v>
      </c>
      <c r="P16" s="54">
        <f t="shared" si="20"/>
        <v>0</v>
      </c>
      <c r="Q16" s="307">
        <v>0</v>
      </c>
      <c r="R16" s="54">
        <f t="shared" si="21"/>
        <v>0</v>
      </c>
      <c r="S16" s="54">
        <f t="shared" si="2"/>
        <v>0</v>
      </c>
      <c r="T16" s="49">
        <f t="shared" si="9"/>
        <v>0</v>
      </c>
      <c r="U16" s="54">
        <f t="shared" si="10"/>
        <v>0</v>
      </c>
      <c r="V16" s="54">
        <f t="shared" si="22"/>
        <v>0</v>
      </c>
      <c r="W16" s="307">
        <v>350.2439879026126</v>
      </c>
      <c r="X16" s="54">
        <f t="shared" si="3"/>
        <v>0.8415000000000001</v>
      </c>
      <c r="Y16" s="54">
        <f t="shared" si="4"/>
        <v>2.052439024390244</v>
      </c>
      <c r="Z16" s="49">
        <f t="shared" si="11"/>
        <v>50.61539081856634</v>
      </c>
      <c r="AA16" s="54">
        <f t="shared" si="12"/>
        <v>52.667829842956586</v>
      </c>
      <c r="AB16" s="54">
        <f t="shared" si="13"/>
        <v>0</v>
      </c>
      <c r="AC16" s="307">
        <v>442.158049267647</v>
      </c>
      <c r="AD16" s="54">
        <f t="shared" si="5"/>
        <v>1.6371000000000002</v>
      </c>
      <c r="AE16" s="54">
        <f t="shared" si="14"/>
        <v>3.9929268292682933</v>
      </c>
      <c r="AF16" s="49">
        <f t="shared" si="15"/>
        <v>142.65302471054835</v>
      </c>
      <c r="AG16" s="54">
        <f t="shared" si="16"/>
        <v>146.64595153981665</v>
      </c>
      <c r="AH16" s="54">
        <f t="shared" si="17"/>
        <v>0</v>
      </c>
      <c r="AI16" s="331">
        <v>260.97661483593754</v>
      </c>
      <c r="AJ16" s="54">
        <f t="shared" si="6"/>
        <v>2.2185</v>
      </c>
      <c r="AK16" s="54">
        <f t="shared" si="7"/>
        <v>5.410975609756099</v>
      </c>
      <c r="AL16" s="49">
        <f t="shared" si="23"/>
        <v>23.552575593426845</v>
      </c>
      <c r="AM16" s="54">
        <f t="shared" si="24"/>
        <v>28.963551203182945</v>
      </c>
      <c r="AN16" s="54">
        <f t="shared" si="18"/>
        <v>0</v>
      </c>
      <c r="AO16" s="54"/>
      <c r="AP16" s="54"/>
      <c r="AQ16" s="121"/>
      <c r="AR16" s="54"/>
      <c r="AS16" s="54"/>
    </row>
    <row r="17" spans="1:45" s="112" customFormat="1" ht="15.75">
      <c r="A17" s="55" t="s">
        <v>24</v>
      </c>
      <c r="B17" s="54">
        <f>K46/$D$3</f>
        <v>1.0903038810225876</v>
      </c>
      <c r="C17" s="121">
        <f>10.96/12</f>
        <v>0.9133333333333334</v>
      </c>
      <c r="D17" s="338">
        <f>0/12</f>
        <v>0</v>
      </c>
      <c r="E17" s="397"/>
      <c r="F17" s="397"/>
      <c r="G17" s="397"/>
      <c r="H17" s="397"/>
      <c r="I17" s="397"/>
      <c r="J17" s="397"/>
      <c r="K17" s="307">
        <v>96.4157122376042</v>
      </c>
      <c r="L17" s="54">
        <f t="shared" si="0"/>
        <v>0</v>
      </c>
      <c r="M17" s="54">
        <f t="shared" si="1"/>
        <v>0</v>
      </c>
      <c r="N17" s="49">
        <f t="shared" si="19"/>
        <v>53.27224762676363</v>
      </c>
      <c r="O17" s="54">
        <f t="shared" si="8"/>
        <v>53.27224762676363</v>
      </c>
      <c r="P17" s="54">
        <f t="shared" si="20"/>
        <v>0</v>
      </c>
      <c r="Q17" s="307">
        <v>0</v>
      </c>
      <c r="R17" s="54">
        <f t="shared" si="21"/>
        <v>0</v>
      </c>
      <c r="S17" s="54">
        <f t="shared" si="2"/>
        <v>0</v>
      </c>
      <c r="T17" s="49">
        <f t="shared" si="9"/>
        <v>0</v>
      </c>
      <c r="U17" s="54">
        <f t="shared" si="10"/>
        <v>0</v>
      </c>
      <c r="V17" s="54">
        <f t="shared" si="22"/>
        <v>0</v>
      </c>
      <c r="W17" s="307">
        <v>168.8458796161458</v>
      </c>
      <c r="X17" s="54">
        <f t="shared" si="3"/>
        <v>1.0046666666666668</v>
      </c>
      <c r="Y17" s="54">
        <f t="shared" si="4"/>
        <v>2.4504065040650413</v>
      </c>
      <c r="Z17" s="49">
        <f t="shared" si="11"/>
        <v>77.97853357073546</v>
      </c>
      <c r="AA17" s="54">
        <f t="shared" si="12"/>
        <v>80.42894007480051</v>
      </c>
      <c r="AB17" s="54">
        <f t="shared" si="13"/>
        <v>0</v>
      </c>
      <c r="AC17" s="307">
        <v>415.8873780333334</v>
      </c>
      <c r="AD17" s="54">
        <f t="shared" si="5"/>
        <v>1.9545333333333337</v>
      </c>
      <c r="AE17" s="54">
        <f t="shared" si="14"/>
        <v>4.767154471544717</v>
      </c>
      <c r="AF17" s="49">
        <f t="shared" si="15"/>
        <v>219.77255329772296</v>
      </c>
      <c r="AG17" s="54">
        <f t="shared" si="16"/>
        <v>224.5397077692677</v>
      </c>
      <c r="AH17" s="54">
        <f t="shared" si="17"/>
        <v>0</v>
      </c>
      <c r="AI17" s="331">
        <v>116.08258175000002</v>
      </c>
      <c r="AJ17" s="54">
        <f t="shared" si="6"/>
        <v>2.6486666666666667</v>
      </c>
      <c r="AK17" s="54">
        <f t="shared" si="7"/>
        <v>6.460162601626017</v>
      </c>
      <c r="AL17" s="49">
        <f t="shared" si="23"/>
        <v>36.28531316043171</v>
      </c>
      <c r="AM17" s="54">
        <f t="shared" si="24"/>
        <v>42.74547576205773</v>
      </c>
      <c r="AN17" s="54">
        <f t="shared" si="18"/>
        <v>0</v>
      </c>
      <c r="AO17" s="54"/>
      <c r="AP17" s="54"/>
      <c r="AQ17" s="121"/>
      <c r="AR17" s="54"/>
      <c r="AS17" s="54"/>
    </row>
    <row r="18" spans="1:45" s="112" customFormat="1" ht="15.75">
      <c r="A18" s="55" t="s">
        <v>25</v>
      </c>
      <c r="B18" s="54">
        <f>L46/$D$3</f>
        <v>0.8460183327209864</v>
      </c>
      <c r="C18" s="121">
        <f>8.4/12</f>
        <v>0.7000000000000001</v>
      </c>
      <c r="D18" s="338">
        <f>2.55/12</f>
        <v>0.2125</v>
      </c>
      <c r="E18" s="397"/>
      <c r="F18" s="397"/>
      <c r="G18" s="397"/>
      <c r="H18" s="397"/>
      <c r="I18" s="397"/>
      <c r="J18" s="397"/>
      <c r="K18" s="307">
        <v>41.87850111175288</v>
      </c>
      <c r="L18" s="54">
        <f t="shared" si="0"/>
        <v>0</v>
      </c>
      <c r="M18" s="54">
        <f t="shared" si="1"/>
        <v>0</v>
      </c>
      <c r="N18" s="49">
        <f t="shared" si="19"/>
        <v>41.336455736747396</v>
      </c>
      <c r="O18" s="54">
        <f t="shared" si="8"/>
        <v>41.336455736747396</v>
      </c>
      <c r="P18" s="54">
        <f t="shared" si="20"/>
        <v>0</v>
      </c>
      <c r="Q18" s="307">
        <v>0</v>
      </c>
      <c r="R18" s="54">
        <f t="shared" si="21"/>
        <v>0</v>
      </c>
      <c r="S18" s="54">
        <f t="shared" si="2"/>
        <v>0</v>
      </c>
      <c r="T18" s="49">
        <f t="shared" si="9"/>
        <v>0</v>
      </c>
      <c r="U18" s="54">
        <f t="shared" si="10"/>
        <v>0</v>
      </c>
      <c r="V18" s="54">
        <f t="shared" si="22"/>
        <v>0</v>
      </c>
      <c r="W18" s="307">
        <v>191.70143099047624</v>
      </c>
      <c r="X18" s="54">
        <f t="shared" si="3"/>
        <v>0.5362500000000001</v>
      </c>
      <c r="Y18" s="54">
        <f t="shared" si="4"/>
        <v>1.307926829268293</v>
      </c>
      <c r="Z18" s="49">
        <f t="shared" si="11"/>
        <v>60.507231156204945</v>
      </c>
      <c r="AA18" s="54">
        <f t="shared" si="12"/>
        <v>61.815157985473235</v>
      </c>
      <c r="AB18" s="54">
        <f t="shared" si="13"/>
        <v>0</v>
      </c>
      <c r="AC18" s="307">
        <v>438.9981093166664</v>
      </c>
      <c r="AD18" s="54">
        <f t="shared" si="5"/>
        <v>1.0432500000000002</v>
      </c>
      <c r="AE18" s="54">
        <f t="shared" si="14"/>
        <v>2.544512195121952</v>
      </c>
      <c r="AF18" s="49">
        <f t="shared" si="15"/>
        <v>170.53191532656922</v>
      </c>
      <c r="AG18" s="54">
        <f t="shared" si="16"/>
        <v>173.07642752169116</v>
      </c>
      <c r="AH18" s="54">
        <f t="shared" si="17"/>
        <v>0</v>
      </c>
      <c r="AI18" s="331">
        <v>118.46811764791667</v>
      </c>
      <c r="AJ18" s="54">
        <f t="shared" si="6"/>
        <v>1.41375</v>
      </c>
      <c r="AK18" s="54">
        <f t="shared" si="7"/>
        <v>3.4481707317073176</v>
      </c>
      <c r="AL18" s="49">
        <f t="shared" si="23"/>
        <v>28.15549011295443</v>
      </c>
      <c r="AM18" s="54">
        <f t="shared" si="24"/>
        <v>31.603660844661746</v>
      </c>
      <c r="AN18" s="54">
        <f t="shared" si="18"/>
        <v>0</v>
      </c>
      <c r="AO18" s="54"/>
      <c r="AP18" s="54"/>
      <c r="AQ18" s="121"/>
      <c r="AR18" s="54"/>
      <c r="AS18" s="54"/>
    </row>
    <row r="19" spans="1:45" s="112" customFormat="1" ht="15.75">
      <c r="A19" s="55" t="s">
        <v>26</v>
      </c>
      <c r="B19" s="54">
        <f>M46/$D$3</f>
        <v>0.7544112521078861</v>
      </c>
      <c r="C19" s="121">
        <f>6.98/12</f>
        <v>0.5816666666666667</v>
      </c>
      <c r="D19" s="338">
        <f>1.84/12</f>
        <v>0.15333333333333335</v>
      </c>
      <c r="E19" s="397"/>
      <c r="F19" s="397"/>
      <c r="G19" s="397"/>
      <c r="H19" s="397"/>
      <c r="I19" s="397"/>
      <c r="J19" s="397"/>
      <c r="K19" s="307">
        <v>84.64255745770829</v>
      </c>
      <c r="L19" s="54">
        <f t="shared" si="0"/>
        <v>0</v>
      </c>
      <c r="M19" s="54">
        <f t="shared" si="1"/>
        <v>0</v>
      </c>
      <c r="N19" s="49">
        <f t="shared" si="19"/>
        <v>36.860533777991314</v>
      </c>
      <c r="O19" s="54">
        <f t="shared" si="8"/>
        <v>36.860533777991314</v>
      </c>
      <c r="P19" s="54">
        <f t="shared" si="20"/>
        <v>0</v>
      </c>
      <c r="Q19" s="307">
        <v>0</v>
      </c>
      <c r="R19" s="54">
        <f t="shared" si="21"/>
        <v>0</v>
      </c>
      <c r="S19" s="54">
        <f t="shared" si="2"/>
        <v>0</v>
      </c>
      <c r="T19" s="49">
        <f t="shared" si="9"/>
        <v>0</v>
      </c>
      <c r="U19" s="54">
        <f t="shared" si="10"/>
        <v>0</v>
      </c>
      <c r="V19" s="54">
        <f t="shared" si="22"/>
        <v>0</v>
      </c>
      <c r="W19" s="307">
        <v>220.36405418979166</v>
      </c>
      <c r="X19" s="54">
        <f t="shared" si="3"/>
        <v>0.47116666666666673</v>
      </c>
      <c r="Y19" s="54">
        <f t="shared" si="4"/>
        <v>1.149186991869919</v>
      </c>
      <c r="Z19" s="49">
        <f t="shared" si="11"/>
        <v>53.95549275075601</v>
      </c>
      <c r="AA19" s="54">
        <f t="shared" si="12"/>
        <v>55.104679742625926</v>
      </c>
      <c r="AB19" s="54">
        <f t="shared" si="13"/>
        <v>0</v>
      </c>
      <c r="AC19" s="307">
        <v>416.8997741791668</v>
      </c>
      <c r="AD19" s="54">
        <f t="shared" si="5"/>
        <v>0.9166333333333334</v>
      </c>
      <c r="AE19" s="54">
        <f t="shared" si="14"/>
        <v>2.2356910569105692</v>
      </c>
      <c r="AF19" s="49">
        <f t="shared" si="15"/>
        <v>152.06667608738658</v>
      </c>
      <c r="AG19" s="54">
        <f t="shared" si="16"/>
        <v>154.30236714429716</v>
      </c>
      <c r="AH19" s="54">
        <f t="shared" si="17"/>
        <v>0</v>
      </c>
      <c r="AI19" s="331">
        <v>231.19594914895836</v>
      </c>
      <c r="AJ19" s="54">
        <f t="shared" si="6"/>
        <v>1.2421666666666666</v>
      </c>
      <c r="AK19" s="54">
        <f t="shared" si="7"/>
        <v>3.0296747967479676</v>
      </c>
      <c r="AL19" s="49">
        <f t="shared" si="23"/>
        <v>25.10680647015045</v>
      </c>
      <c r="AM19" s="54">
        <f t="shared" si="24"/>
        <v>28.136481266898418</v>
      </c>
      <c r="AN19" s="54">
        <f t="shared" si="18"/>
        <v>0</v>
      </c>
      <c r="AO19" s="54"/>
      <c r="AP19" s="54"/>
      <c r="AQ19" s="121"/>
      <c r="AR19" s="54"/>
      <c r="AS19" s="54"/>
    </row>
    <row r="20" spans="1:45" s="112" customFormat="1" ht="15.75">
      <c r="A20" s="55" t="s">
        <v>27</v>
      </c>
      <c r="B20" s="54">
        <f>N46/$D$3</f>
        <v>0.00898108633461769</v>
      </c>
      <c r="C20" s="121">
        <f>6.19/12</f>
        <v>0.5158333333333334</v>
      </c>
      <c r="D20" s="338">
        <f>7.35/12</f>
        <v>0.6124999999999999</v>
      </c>
      <c r="E20" s="397"/>
      <c r="F20" s="397"/>
      <c r="G20" s="397"/>
      <c r="H20" s="397"/>
      <c r="I20" s="397"/>
      <c r="J20" s="397"/>
      <c r="K20" s="307">
        <v>11.448320245104167</v>
      </c>
      <c r="L20" s="54">
        <f t="shared" si="0"/>
        <v>0</v>
      </c>
      <c r="M20" s="54">
        <f t="shared" si="1"/>
        <v>0</v>
      </c>
      <c r="N20" s="49">
        <f t="shared" si="19"/>
        <v>0.43881587830942037</v>
      </c>
      <c r="O20" s="54">
        <f t="shared" si="8"/>
        <v>0.43881587830942037</v>
      </c>
      <c r="P20" s="54">
        <f t="shared" si="20"/>
        <v>0</v>
      </c>
      <c r="Q20" s="307">
        <v>0</v>
      </c>
      <c r="R20" s="54">
        <f t="shared" si="21"/>
        <v>0</v>
      </c>
      <c r="S20" s="54">
        <f t="shared" si="2"/>
        <v>0</v>
      </c>
      <c r="T20" s="49">
        <f t="shared" si="9"/>
        <v>0</v>
      </c>
      <c r="U20" s="54">
        <f t="shared" si="10"/>
        <v>0</v>
      </c>
      <c r="V20" s="54">
        <f t="shared" si="22"/>
        <v>0</v>
      </c>
      <c r="W20" s="307">
        <v>81.57662936635417</v>
      </c>
      <c r="X20" s="54">
        <f t="shared" si="3"/>
        <v>0</v>
      </c>
      <c r="Y20" s="54">
        <f t="shared" si="4"/>
        <v>0</v>
      </c>
      <c r="Z20" s="49">
        <f t="shared" si="11"/>
        <v>0.6423272946518572</v>
      </c>
      <c r="AA20" s="54">
        <f t="shared" si="12"/>
        <v>0.6423272946518572</v>
      </c>
      <c r="AB20" s="54">
        <f t="shared" si="13"/>
        <v>0</v>
      </c>
      <c r="AC20" s="307">
        <v>152.9247931987501</v>
      </c>
      <c r="AD20" s="54">
        <f t="shared" si="5"/>
        <v>0</v>
      </c>
      <c r="AE20" s="54">
        <f t="shared" si="14"/>
        <v>0</v>
      </c>
      <c r="AF20" s="49">
        <f t="shared" si="15"/>
        <v>1.8103175724688878</v>
      </c>
      <c r="AG20" s="54">
        <f t="shared" si="16"/>
        <v>1.8103175724688878</v>
      </c>
      <c r="AH20" s="54">
        <f t="shared" si="17"/>
        <v>0</v>
      </c>
      <c r="AI20" s="331">
        <v>252.52052437499998</v>
      </c>
      <c r="AJ20" s="54">
        <f t="shared" si="6"/>
        <v>0</v>
      </c>
      <c r="AK20" s="54">
        <f t="shared" si="7"/>
        <v>0</v>
      </c>
      <c r="AL20" s="49">
        <f t="shared" si="23"/>
        <v>0.29889055321607677</v>
      </c>
      <c r="AM20" s="54">
        <f t="shared" si="24"/>
        <v>0.29889055321607677</v>
      </c>
      <c r="AN20" s="54">
        <f t="shared" si="18"/>
        <v>0</v>
      </c>
      <c r="AO20" s="54"/>
      <c r="AP20" s="54"/>
      <c r="AQ20" s="121"/>
      <c r="AR20" s="54"/>
      <c r="AS20" s="54"/>
    </row>
    <row r="21" spans="1:45" s="112" customFormat="1" ht="15.75">
      <c r="A21" s="55" t="s">
        <v>28</v>
      </c>
      <c r="B21" s="54">
        <f>O46/$D$3</f>
        <v>0.2820061109069955</v>
      </c>
      <c r="C21" s="121">
        <f>5.2/12</f>
        <v>0.43333333333333335</v>
      </c>
      <c r="D21" s="338">
        <f>1.6/12</f>
        <v>0.13333333333333333</v>
      </c>
      <c r="E21" s="397"/>
      <c r="F21" s="397"/>
      <c r="G21" s="397"/>
      <c r="H21" s="397"/>
      <c r="I21" s="397"/>
      <c r="J21" s="397"/>
      <c r="K21" s="307">
        <v>1.1606605283333336</v>
      </c>
      <c r="L21" s="54">
        <f t="shared" si="0"/>
        <v>0</v>
      </c>
      <c r="M21" s="54">
        <f t="shared" si="1"/>
        <v>0</v>
      </c>
      <c r="N21" s="49">
        <f t="shared" si="19"/>
        <v>13.7788185789158</v>
      </c>
      <c r="O21" s="54">
        <f t="shared" si="8"/>
        <v>13.7788185789158</v>
      </c>
      <c r="P21" s="54">
        <f t="shared" si="20"/>
        <v>12.618158050582466</v>
      </c>
      <c r="Q21" s="307">
        <v>0</v>
      </c>
      <c r="R21" s="54">
        <f t="shared" si="21"/>
        <v>0</v>
      </c>
      <c r="S21" s="54">
        <f t="shared" si="2"/>
        <v>0</v>
      </c>
      <c r="T21" s="49">
        <f t="shared" si="9"/>
        <v>0</v>
      </c>
      <c r="U21" s="54">
        <f t="shared" si="10"/>
        <v>0</v>
      </c>
      <c r="V21" s="54">
        <f t="shared" si="22"/>
        <v>0</v>
      </c>
      <c r="W21" s="307">
        <v>9.601565047083335</v>
      </c>
      <c r="X21" s="54">
        <f t="shared" si="3"/>
        <v>0.33000000000000007</v>
      </c>
      <c r="Y21" s="54">
        <f t="shared" si="4"/>
        <v>0.8048780487804881</v>
      </c>
      <c r="Z21" s="49">
        <f t="shared" si="11"/>
        <v>20.169077052068317</v>
      </c>
      <c r="AA21" s="54">
        <f t="shared" si="12"/>
        <v>20.973955100848805</v>
      </c>
      <c r="AB21" s="54">
        <f t="shared" si="13"/>
        <v>11.37239005376547</v>
      </c>
      <c r="AC21" s="307">
        <v>321.38139056322734</v>
      </c>
      <c r="AD21" s="54">
        <f t="shared" si="5"/>
        <v>0.6420000000000001</v>
      </c>
      <c r="AE21" s="54">
        <f t="shared" si="14"/>
        <v>1.5658536585365859</v>
      </c>
      <c r="AF21" s="49">
        <f t="shared" si="15"/>
        <v>56.84397177552308</v>
      </c>
      <c r="AG21" s="54">
        <f t="shared" si="16"/>
        <v>58.40982543405967</v>
      </c>
      <c r="AH21" s="54">
        <f t="shared" si="17"/>
        <v>0</v>
      </c>
      <c r="AI21" s="331">
        <v>294.7273196947919</v>
      </c>
      <c r="AJ21" s="54">
        <f t="shared" si="6"/>
        <v>0.8700000000000001</v>
      </c>
      <c r="AK21" s="54">
        <f t="shared" si="7"/>
        <v>2.1219512195121957</v>
      </c>
      <c r="AL21" s="49">
        <f t="shared" si="23"/>
        <v>9.385163370984811</v>
      </c>
      <c r="AM21" s="54">
        <f t="shared" si="24"/>
        <v>11.507114590497007</v>
      </c>
      <c r="AN21" s="54">
        <f t="shared" si="18"/>
        <v>0</v>
      </c>
      <c r="AO21" s="54"/>
      <c r="AP21" s="54"/>
      <c r="AQ21" s="121"/>
      <c r="AR21" s="54"/>
      <c r="AS21" s="54"/>
    </row>
    <row r="22" spans="1:45" s="112" customFormat="1" ht="15.75">
      <c r="A22" s="55" t="s">
        <v>29</v>
      </c>
      <c r="B22" s="54">
        <f>P46/$D$3</f>
        <v>0.15267846768850074</v>
      </c>
      <c r="C22" s="121">
        <f>2.71/12</f>
        <v>0.22583333333333333</v>
      </c>
      <c r="D22" s="338">
        <f>0.38/12</f>
        <v>0.03166666666666667</v>
      </c>
      <c r="E22" s="397"/>
      <c r="F22" s="397"/>
      <c r="G22" s="397"/>
      <c r="H22" s="397"/>
      <c r="I22" s="397"/>
      <c r="J22" s="397"/>
      <c r="K22" s="307">
        <v>0</v>
      </c>
      <c r="L22" s="54">
        <f t="shared" si="0"/>
        <v>0</v>
      </c>
      <c r="M22" s="54">
        <f t="shared" si="1"/>
        <v>0</v>
      </c>
      <c r="N22" s="49">
        <f t="shared" si="19"/>
        <v>7.459869931260146</v>
      </c>
      <c r="O22" s="54">
        <f t="shared" si="8"/>
        <v>7.459869931260146</v>
      </c>
      <c r="P22" s="54">
        <f t="shared" si="20"/>
        <v>7.459869931260146</v>
      </c>
      <c r="Q22" s="307">
        <v>0</v>
      </c>
      <c r="R22" s="54">
        <f t="shared" si="21"/>
        <v>0</v>
      </c>
      <c r="S22" s="54">
        <f t="shared" si="2"/>
        <v>0</v>
      </c>
      <c r="T22" s="49">
        <f t="shared" si="9"/>
        <v>0</v>
      </c>
      <c r="U22" s="54">
        <f t="shared" si="10"/>
        <v>0</v>
      </c>
      <c r="V22" s="54">
        <f t="shared" si="22"/>
        <v>0</v>
      </c>
      <c r="W22" s="307">
        <v>4.270245620833331</v>
      </c>
      <c r="X22" s="54">
        <f t="shared" si="3"/>
        <v>0.21358333333333335</v>
      </c>
      <c r="Y22" s="54">
        <f t="shared" si="4"/>
        <v>0.5209349593495936</v>
      </c>
      <c r="Z22" s="49">
        <f t="shared" si="11"/>
        <v>10.919564009081572</v>
      </c>
      <c r="AA22" s="54">
        <f t="shared" si="12"/>
        <v>11.440498968431166</v>
      </c>
      <c r="AB22" s="338">
        <v>0</v>
      </c>
      <c r="AC22" s="307">
        <v>344.6638628937501</v>
      </c>
      <c r="AD22" s="54">
        <f t="shared" si="5"/>
        <v>0.41551666666666665</v>
      </c>
      <c r="AE22" s="54">
        <f t="shared" si="14"/>
        <v>1.0134552845528455</v>
      </c>
      <c r="AF22" s="49">
        <f t="shared" si="15"/>
        <v>30.775398731971094</v>
      </c>
      <c r="AG22" s="54">
        <f t="shared" si="16"/>
        <v>31.78885401652394</v>
      </c>
      <c r="AH22" s="54">
        <f t="shared" si="17"/>
        <v>0</v>
      </c>
      <c r="AI22" s="331">
        <v>316.16181221666676</v>
      </c>
      <c r="AJ22" s="54">
        <f t="shared" si="6"/>
        <v>0.5630833333333333</v>
      </c>
      <c r="AK22" s="54">
        <f t="shared" si="7"/>
        <v>1.3733739837398373</v>
      </c>
      <c r="AL22" s="49">
        <f t="shared" si="23"/>
        <v>5.081139404673305</v>
      </c>
      <c r="AM22" s="54">
        <f t="shared" si="24"/>
        <v>6.454513388413142</v>
      </c>
      <c r="AN22" s="54">
        <f t="shared" si="18"/>
        <v>0</v>
      </c>
      <c r="AO22" s="54"/>
      <c r="AP22" s="54"/>
      <c r="AQ22" s="121"/>
      <c r="AR22" s="54"/>
      <c r="AS22" s="54"/>
    </row>
    <row r="23" spans="1:45" s="112" customFormat="1" ht="15.75">
      <c r="A23" s="55" t="s">
        <v>211</v>
      </c>
      <c r="B23" s="54">
        <f>Q46/$D$3</f>
        <v>0.001796217266923538</v>
      </c>
      <c r="C23" s="179">
        <f>2.21/12</f>
        <v>0.18416666666666667</v>
      </c>
      <c r="D23" s="338">
        <f>1.33/12</f>
        <v>0.11083333333333334</v>
      </c>
      <c r="E23" s="397"/>
      <c r="F23" s="397"/>
      <c r="G23" s="397"/>
      <c r="H23" s="397"/>
      <c r="I23" s="397"/>
      <c r="J23" s="397"/>
      <c r="K23" s="329">
        <v>0</v>
      </c>
      <c r="L23" s="54">
        <f t="shared" si="0"/>
        <v>0</v>
      </c>
      <c r="M23" s="54">
        <f t="shared" si="1"/>
        <v>0</v>
      </c>
      <c r="N23" s="49">
        <f t="shared" si="19"/>
        <v>0.08776317566188407</v>
      </c>
      <c r="O23" s="54">
        <f t="shared" si="8"/>
        <v>0.08776317566188407</v>
      </c>
      <c r="P23" s="338">
        <v>0</v>
      </c>
      <c r="Q23" s="329">
        <v>0</v>
      </c>
      <c r="R23" s="54">
        <f>R$7*(IF($C23-$D23&lt;0,0,ABS($C23-$D23)))</f>
        <v>0</v>
      </c>
      <c r="S23" s="54">
        <f t="shared" si="2"/>
        <v>0</v>
      </c>
      <c r="T23" s="49">
        <f>R$9*$B23</f>
        <v>0</v>
      </c>
      <c r="U23" s="54">
        <f>S23+T23</f>
        <v>0</v>
      </c>
      <c r="V23" s="338">
        <v>0</v>
      </c>
      <c r="W23" s="329">
        <v>0</v>
      </c>
      <c r="X23" s="54">
        <f t="shared" si="3"/>
        <v>0.08066666666666668</v>
      </c>
      <c r="Y23" s="54">
        <f t="shared" si="4"/>
        <v>0.19674796747967482</v>
      </c>
      <c r="Z23" s="49">
        <f>X$9*$B23</f>
        <v>0.12846545893037142</v>
      </c>
      <c r="AA23" s="54">
        <f>Y23+Z23</f>
        <v>0.32521342641004625</v>
      </c>
      <c r="AB23" s="338">
        <v>0</v>
      </c>
      <c r="AC23" s="329">
        <v>39.24864371169873</v>
      </c>
      <c r="AD23" s="54">
        <f t="shared" si="5"/>
        <v>0.15693333333333334</v>
      </c>
      <c r="AE23" s="54">
        <f t="shared" si="14"/>
        <v>0.38276422764227647</v>
      </c>
      <c r="AF23" s="49">
        <f>AD$9*$B23</f>
        <v>0.36206351449377755</v>
      </c>
      <c r="AG23" s="54">
        <f>AE23+AF23</f>
        <v>0.7448277421360541</v>
      </c>
      <c r="AH23" s="338">
        <v>0</v>
      </c>
      <c r="AI23" s="329">
        <v>30.93632257193631</v>
      </c>
      <c r="AJ23" s="54">
        <f t="shared" si="6"/>
        <v>0.21266666666666667</v>
      </c>
      <c r="AK23" s="54">
        <f t="shared" si="7"/>
        <v>0.51869918699187</v>
      </c>
      <c r="AL23" s="49">
        <f>AJ$9*$B23</f>
        <v>0.05977811064321535</v>
      </c>
      <c r="AM23" s="54">
        <f>AK23+AL23</f>
        <v>0.5784772976350854</v>
      </c>
      <c r="AN23" s="338">
        <v>0</v>
      </c>
      <c r="AO23" s="54"/>
      <c r="AP23" s="54"/>
      <c r="AQ23" s="121"/>
      <c r="AR23" s="54"/>
      <c r="AS23" s="54"/>
    </row>
    <row r="24" spans="1:45" s="121" customFormat="1" ht="15.75">
      <c r="A24" s="53" t="s">
        <v>34</v>
      </c>
      <c r="B24" s="120">
        <f>SUM(B12:B23)</f>
        <v>4.650406504065041</v>
      </c>
      <c r="C24" s="120">
        <f>SUM(C12:C23)</f>
        <v>5.920833333333334</v>
      </c>
      <c r="D24" s="120">
        <f>SUM(D12:D23)</f>
        <v>1.35</v>
      </c>
      <c r="E24" s="397"/>
      <c r="F24" s="397"/>
      <c r="G24" s="397"/>
      <c r="H24" s="397"/>
      <c r="I24" s="397"/>
      <c r="J24" s="397"/>
      <c r="K24" s="120">
        <f>SUM(K12:K23)</f>
        <v>846.2206480708148</v>
      </c>
      <c r="L24" s="120">
        <f>SUM(L12:L23)</f>
        <v>0</v>
      </c>
      <c r="M24" s="120">
        <f aca="true" t="shared" si="25" ref="M24:AN24">SUM(M12:M23)</f>
        <v>0</v>
      </c>
      <c r="N24" s="120">
        <f t="shared" si="25"/>
        <v>227.21886178861786</v>
      </c>
      <c r="O24" s="120">
        <f t="shared" si="25"/>
        <v>227.21886178861786</v>
      </c>
      <c r="P24" s="53">
        <f>SUM(P12:P23)</f>
        <v>24.817374181125622</v>
      </c>
      <c r="Q24" s="120">
        <f t="shared" si="25"/>
        <v>0</v>
      </c>
      <c r="R24" s="120">
        <f t="shared" si="25"/>
        <v>0</v>
      </c>
      <c r="S24" s="120">
        <f t="shared" si="25"/>
        <v>0</v>
      </c>
      <c r="T24" s="120">
        <f t="shared" si="25"/>
        <v>0</v>
      </c>
      <c r="U24" s="120">
        <f t="shared" si="25"/>
        <v>0</v>
      </c>
      <c r="V24" s="120">
        <f t="shared" si="25"/>
        <v>0</v>
      </c>
      <c r="W24" s="120">
        <f t="shared" si="25"/>
        <v>1652.689509118981</v>
      </c>
      <c r="X24" s="120">
        <f t="shared" si="25"/>
        <v>5.134250000000001</v>
      </c>
      <c r="Y24" s="120">
        <f t="shared" si="25"/>
        <v>12.52256097560976</v>
      </c>
      <c r="Z24" s="120">
        <f t="shared" si="25"/>
        <v>332.5970731707316</v>
      </c>
      <c r="AA24" s="120">
        <f t="shared" si="25"/>
        <v>345.1196341463414</v>
      </c>
      <c r="AB24" s="53">
        <f>SUM(AB12:AB23)</f>
        <v>11.37239005376547</v>
      </c>
      <c r="AC24" s="120">
        <f t="shared" si="25"/>
        <v>3674.8621123578805</v>
      </c>
      <c r="AD24" s="120">
        <f t="shared" si="25"/>
        <v>9.98845</v>
      </c>
      <c r="AE24" s="120">
        <f t="shared" si="25"/>
        <v>24.362073170731712</v>
      </c>
      <c r="AF24" s="120">
        <f t="shared" si="25"/>
        <v>937.3824390243901</v>
      </c>
      <c r="AG24" s="120">
        <f t="shared" si="25"/>
        <v>961.7445121951218</v>
      </c>
      <c r="AH24" s="120">
        <f t="shared" si="25"/>
        <v>0</v>
      </c>
      <c r="AI24" s="120">
        <f t="shared" si="25"/>
        <v>2035.2607019737084</v>
      </c>
      <c r="AJ24" s="120">
        <f t="shared" si="25"/>
        <v>13.535750000000002</v>
      </c>
      <c r="AK24" s="120">
        <f t="shared" si="25"/>
        <v>33.014024390243904</v>
      </c>
      <c r="AL24" s="120">
        <f t="shared" si="25"/>
        <v>154.7655284552845</v>
      </c>
      <c r="AM24" s="53">
        <f>SUM(AM12:AM23)</f>
        <v>187.77955284552846</v>
      </c>
      <c r="AN24" s="120">
        <f t="shared" si="25"/>
        <v>0</v>
      </c>
      <c r="AO24" s="54"/>
      <c r="AR24" s="120"/>
      <c r="AS24" s="53"/>
    </row>
    <row r="25" spans="1:37" s="112" customFormat="1" ht="15.75">
      <c r="A25" s="247" t="s">
        <v>353</v>
      </c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T25" s="325" t="s">
        <v>345</v>
      </c>
      <c r="U25" s="288"/>
      <c r="V25" s="288"/>
      <c r="W25" s="49"/>
      <c r="AB25" s="49"/>
      <c r="AC25" s="49"/>
      <c r="AI25" s="291"/>
      <c r="AJ25" s="49"/>
      <c r="AK25" s="49"/>
    </row>
    <row r="26" spans="1:35" s="49" customFormat="1" ht="15.75">
      <c r="A26" s="49" t="s">
        <v>352</v>
      </c>
      <c r="AI26" s="291"/>
    </row>
    <row r="27" spans="1:52" s="148" customFormat="1" ht="18">
      <c r="A27" s="141" t="s">
        <v>35</v>
      </c>
      <c r="B27" s="142"/>
      <c r="C27" s="146"/>
      <c r="D27" s="147"/>
      <c r="E27" s="147"/>
      <c r="F27" s="382" t="s">
        <v>120</v>
      </c>
      <c r="G27" s="383"/>
      <c r="H27" s="383"/>
      <c r="I27" s="383"/>
      <c r="J27" s="383"/>
      <c r="K27" s="383"/>
      <c r="L27" s="384" t="s">
        <v>121</v>
      </c>
      <c r="M27" s="383"/>
      <c r="N27" s="383"/>
      <c r="O27" s="383"/>
      <c r="P27" s="383"/>
      <c r="Q27" s="383"/>
      <c r="R27" s="196"/>
      <c r="S27" s="385" t="s">
        <v>73</v>
      </c>
      <c r="T27" s="386"/>
      <c r="U27" s="386"/>
      <c r="V27" s="386"/>
      <c r="W27" s="386"/>
      <c r="X27" s="386"/>
      <c r="Y27" s="232"/>
      <c r="Z27" s="234"/>
      <c r="AA27" s="235"/>
      <c r="AB27" s="235"/>
      <c r="AC27" s="235"/>
      <c r="AD27" s="235"/>
      <c r="AE27" s="235"/>
      <c r="AF27" s="235"/>
      <c r="AG27" s="232"/>
      <c r="AH27" s="235"/>
      <c r="AI27" s="235"/>
      <c r="AJ27" s="235"/>
      <c r="AK27" s="236"/>
      <c r="AL27" s="236"/>
      <c r="AM27" s="236"/>
      <c r="AN27" s="236"/>
      <c r="AO27" s="236"/>
      <c r="AP27" s="236"/>
      <c r="AQ27" s="236"/>
      <c r="AR27" s="236"/>
      <c r="AS27" s="236"/>
      <c r="AT27" s="236"/>
      <c r="AU27" s="237"/>
      <c r="AV27" s="237"/>
      <c r="AW27" s="237"/>
      <c r="AX27" s="237"/>
      <c r="AY27" s="237"/>
      <c r="AZ27" s="237"/>
    </row>
    <row r="28" spans="1:38" s="140" customFormat="1" ht="72.75" customHeight="1">
      <c r="A28" s="129"/>
      <c r="B28" s="129"/>
      <c r="C28" s="149" t="s">
        <v>8</v>
      </c>
      <c r="D28" s="149" t="s">
        <v>9</v>
      </c>
      <c r="E28" s="150"/>
      <c r="F28" s="116" t="s">
        <v>207</v>
      </c>
      <c r="G28" s="126" t="s">
        <v>0</v>
      </c>
      <c r="H28" s="116" t="s">
        <v>2</v>
      </c>
      <c r="I28" s="116" t="s">
        <v>3</v>
      </c>
      <c r="J28" s="116" t="s">
        <v>298</v>
      </c>
      <c r="K28" s="116" t="s">
        <v>299</v>
      </c>
      <c r="L28" s="129"/>
      <c r="M28" s="116" t="s">
        <v>209</v>
      </c>
      <c r="N28" s="126" t="s">
        <v>0</v>
      </c>
      <c r="O28" s="116" t="s">
        <v>299</v>
      </c>
      <c r="P28" s="116" t="s">
        <v>208</v>
      </c>
      <c r="Q28" s="126" t="s">
        <v>0</v>
      </c>
      <c r="S28" s="126" t="s">
        <v>122</v>
      </c>
      <c r="T28" s="116" t="s">
        <v>1</v>
      </c>
      <c r="U28" s="116" t="s">
        <v>4</v>
      </c>
      <c r="V28" s="126" t="s">
        <v>300</v>
      </c>
      <c r="W28" s="126" t="s">
        <v>123</v>
      </c>
      <c r="X28" s="126" t="s">
        <v>301</v>
      </c>
      <c r="Y28" s="116"/>
      <c r="Z28" s="126"/>
      <c r="AA28" s="116"/>
      <c r="AB28" s="116"/>
      <c r="AC28" s="126"/>
      <c r="AD28" s="126"/>
      <c r="AE28" s="126"/>
      <c r="AF28" s="114" t="s">
        <v>304</v>
      </c>
      <c r="AI28" s="114"/>
      <c r="AJ28" s="110"/>
      <c r="AK28" s="110"/>
      <c r="AL28" s="110"/>
    </row>
    <row r="29" spans="1:39" ht="15.75">
      <c r="A29" s="110" t="s">
        <v>242</v>
      </c>
      <c r="B29" s="49"/>
      <c r="C29" s="54">
        <f>B24*$D$3</f>
        <v>1.9066666666666665</v>
      </c>
      <c r="E29" s="54"/>
      <c r="F29" s="54">
        <f>($F9+$L9+$R9+$X9+$AD9+$AJ9)-F30</f>
        <v>355.23</v>
      </c>
      <c r="G29" s="54">
        <f>F29*$C29</f>
        <v>677.3052</v>
      </c>
      <c r="H29" s="112">
        <f>H24+N24+T24+Z24+AF24+AL24</f>
        <v>1651.9639024390242</v>
      </c>
      <c r="I29" s="112"/>
      <c r="J29" s="49"/>
      <c r="K29" s="49">
        <f>G29*J32</f>
        <v>14.23546574424471</v>
      </c>
      <c r="L29" s="112"/>
      <c r="M29" s="338">
        <v>59.27</v>
      </c>
      <c r="N29" s="54">
        <f>M29*$C29</f>
        <v>113.00813333333333</v>
      </c>
      <c r="O29" s="49">
        <f>J32*N29</f>
        <v>2.3751824301477464</v>
      </c>
      <c r="P29" s="341">
        <v>0.47</v>
      </c>
      <c r="Q29" s="54">
        <f>P29*$C29</f>
        <v>0.8961333333333332</v>
      </c>
      <c r="S29" s="112">
        <f>F29+M29+P29</f>
        <v>414.97</v>
      </c>
      <c r="T29" s="49">
        <f>G29+N29+Q29</f>
        <v>791.2094666666667</v>
      </c>
      <c r="U29" s="49">
        <f>O29+K29</f>
        <v>16.610648174392455</v>
      </c>
      <c r="V29" s="49">
        <f>T29-U29</f>
        <v>774.5988184922742</v>
      </c>
      <c r="W29" s="49"/>
      <c r="X29" s="49"/>
      <c r="Y29" s="112"/>
      <c r="Z29" s="112"/>
      <c r="AA29" s="46"/>
      <c r="AB29" s="49"/>
      <c r="AC29" s="49"/>
      <c r="AD29" s="49"/>
      <c r="AE29" s="49"/>
      <c r="AF29" s="114" t="s">
        <v>305</v>
      </c>
      <c r="AI29" s="64">
        <f>AL31</f>
        <v>0</v>
      </c>
      <c r="AM29" s="49"/>
    </row>
    <row r="30" spans="1:39" ht="15.75">
      <c r="A30" s="110" t="s">
        <v>243</v>
      </c>
      <c r="B30" s="49"/>
      <c r="C30" s="112"/>
      <c r="D30" s="54"/>
      <c r="E30" s="54"/>
      <c r="F30" s="54"/>
      <c r="G30" s="54"/>
      <c r="H30" s="112"/>
      <c r="I30" s="112"/>
      <c r="J30" s="49"/>
      <c r="K30" s="49"/>
      <c r="L30" s="112"/>
      <c r="M30" s="54">
        <v>0</v>
      </c>
      <c r="N30" s="54"/>
      <c r="O30" s="49"/>
      <c r="P30" s="112">
        <v>0</v>
      </c>
      <c r="Q30" s="54"/>
      <c r="S30" s="112"/>
      <c r="T30" s="49"/>
      <c r="U30" s="49"/>
      <c r="V30" s="49"/>
      <c r="W30" s="49"/>
      <c r="X30" s="49"/>
      <c r="Y30" s="112"/>
      <c r="Z30" s="112"/>
      <c r="AA30" s="46"/>
      <c r="AB30" s="49"/>
      <c r="AC30" s="49"/>
      <c r="AD30" s="49"/>
      <c r="AE30" s="49"/>
      <c r="AF30" s="110" t="s">
        <v>306</v>
      </c>
      <c r="AI30" s="341">
        <v>0</v>
      </c>
      <c r="AM30" s="49"/>
    </row>
    <row r="31" spans="1:39" s="45" customFormat="1" ht="15.75">
      <c r="A31" s="45" t="s">
        <v>50</v>
      </c>
      <c r="E31" s="51"/>
      <c r="F31" s="54">
        <f>F7+L7+R7+X7+AD7+AJ7+AP7</f>
        <v>6.140000000000001</v>
      </c>
      <c r="G31" s="54">
        <f>F31*($C24-$D24)</f>
        <v>28.064916666666676</v>
      </c>
      <c r="H31" s="112">
        <f>G24+M24+S24+Y24+AE24+AK24+AQ24</f>
        <v>69.89865853658537</v>
      </c>
      <c r="J31" s="49"/>
      <c r="K31" s="49">
        <f>G31*J32</f>
        <v>0.5898628267189089</v>
      </c>
      <c r="M31" s="338">
        <v>2.04</v>
      </c>
      <c r="N31" s="54">
        <f>M31*($C24-$D24)</f>
        <v>9.324500000000002</v>
      </c>
      <c r="O31" s="54">
        <f>J32*N31</f>
        <v>0.19598048314439315</v>
      </c>
      <c r="P31" s="322">
        <v>0</v>
      </c>
      <c r="Q31" s="54">
        <f>P31*($C24-$D24)</f>
        <v>0</v>
      </c>
      <c r="R31" s="54"/>
      <c r="S31" s="112">
        <f>F31+M31+P31</f>
        <v>8.18</v>
      </c>
      <c r="T31" s="49">
        <f>G31+N31+Q31</f>
        <v>37.389416666666676</v>
      </c>
      <c r="U31" s="49">
        <f>O31+K31</f>
        <v>0.785843309863302</v>
      </c>
      <c r="V31" s="49">
        <f>T31-U31</f>
        <v>36.60357335680337</v>
      </c>
      <c r="W31" s="42"/>
      <c r="Y31" s="49"/>
      <c r="Z31" s="112"/>
      <c r="AA31" s="46"/>
      <c r="AB31" s="49"/>
      <c r="AC31" s="49"/>
      <c r="AD31" s="42"/>
      <c r="AF31" s="110" t="s">
        <v>363</v>
      </c>
      <c r="AI31" s="341">
        <v>87.837</v>
      </c>
      <c r="AJ31" s="110"/>
      <c r="AK31" s="110"/>
      <c r="AL31" s="110"/>
      <c r="AM31" s="49"/>
    </row>
    <row r="32" spans="1:39" ht="15.75">
      <c r="A32" s="64" t="s">
        <v>73</v>
      </c>
      <c r="B32" s="49"/>
      <c r="D32" s="54"/>
      <c r="E32" s="54"/>
      <c r="F32" s="54">
        <f>SUM(F29:F31)</f>
        <v>361.37</v>
      </c>
      <c r="G32" s="54">
        <f>SUM(G29:G31)</f>
        <v>705.3701166666667</v>
      </c>
      <c r="H32" s="54">
        <f>SUM(H29:H31)</f>
        <v>1721.8625609756095</v>
      </c>
      <c r="I32" s="112">
        <f>J24+P24+V24+AB24+AH24+AN24+AT24</f>
        <v>36.18976423489109</v>
      </c>
      <c r="J32" s="53">
        <f>I32/H32</f>
        <v>0.021017800755471404</v>
      </c>
      <c r="K32" s="54">
        <f>J32*G32</f>
        <v>14.82532857096362</v>
      </c>
      <c r="L32" s="112"/>
      <c r="M32" s="54">
        <f>SUM(M29:M31)</f>
        <v>61.31</v>
      </c>
      <c r="N32" s="54">
        <f>SUM(N29:N31)</f>
        <v>122.33263333333333</v>
      </c>
      <c r="O32" s="54">
        <f>SUM(O29:O31)</f>
        <v>2.5711629132921394</v>
      </c>
      <c r="P32" s="54">
        <f>SUM(P29:P31)</f>
        <v>0.47</v>
      </c>
      <c r="Q32" s="54">
        <f>SUM(Q29:Q31)</f>
        <v>0.8961333333333332</v>
      </c>
      <c r="S32" s="112">
        <f>SUM(S29:S31)</f>
        <v>423.15000000000003</v>
      </c>
      <c r="T32" s="49">
        <f>SUM(T29:T31)</f>
        <v>828.5988833333333</v>
      </c>
      <c r="U32" s="49">
        <f>SUM(U29:U31)</f>
        <v>17.39649148425576</v>
      </c>
      <c r="V32" s="49">
        <f>SUM(V29:V31)</f>
        <v>811.2023918490776</v>
      </c>
      <c r="W32" s="54">
        <f>(V32-Q32)*0.1+(Q32*0.02)</f>
        <v>81.04854851824109</v>
      </c>
      <c r="X32" s="49">
        <f>W32+V32</f>
        <v>892.2509403673187</v>
      </c>
      <c r="Y32" s="112"/>
      <c r="Z32" s="64"/>
      <c r="AA32" s="46"/>
      <c r="AB32" s="46"/>
      <c r="AC32" s="46"/>
      <c r="AD32" s="50"/>
      <c r="AE32" s="46"/>
      <c r="AF32" s="114" t="s">
        <v>307</v>
      </c>
      <c r="AG32" s="49"/>
      <c r="AI32" s="64">
        <f>SUM(AI30:AI31)</f>
        <v>87.837</v>
      </c>
      <c r="AM32" s="49"/>
    </row>
    <row r="33" spans="1:33" ht="15.75">
      <c r="A33" s="49"/>
      <c r="B33" s="49"/>
      <c r="C33" s="112"/>
      <c r="D33" s="54"/>
      <c r="E33" s="54"/>
      <c r="F33" s="54"/>
      <c r="G33" s="54"/>
      <c r="H33" s="112"/>
      <c r="I33" s="112"/>
      <c r="J33" s="54"/>
      <c r="K33" s="54"/>
      <c r="L33" s="112"/>
      <c r="M33" s="54"/>
      <c r="N33" s="112"/>
      <c r="O33" s="112"/>
      <c r="P33" s="54"/>
      <c r="Q33" s="54"/>
      <c r="R33" s="54"/>
      <c r="S33" s="112"/>
      <c r="T33" s="112"/>
      <c r="U33" s="49"/>
      <c r="V33" s="49"/>
      <c r="W33" s="49"/>
      <c r="X33" s="46"/>
      <c r="Y33" s="49"/>
      <c r="Z33" s="49"/>
      <c r="AA33" s="49"/>
      <c r="AF33" s="49"/>
      <c r="AG33" s="49"/>
    </row>
    <row r="34" spans="1:33" ht="15.75">
      <c r="A34" s="49" t="s">
        <v>124</v>
      </c>
      <c r="B34" s="49"/>
      <c r="C34" s="112"/>
      <c r="D34" s="54"/>
      <c r="E34" s="54"/>
      <c r="F34" s="54"/>
      <c r="G34" s="54"/>
      <c r="H34" s="112"/>
      <c r="I34" s="112"/>
      <c r="J34" s="54"/>
      <c r="K34" s="54"/>
      <c r="L34" s="112"/>
      <c r="M34" s="54"/>
      <c r="N34" s="54"/>
      <c r="O34" s="49"/>
      <c r="P34" s="54"/>
      <c r="Q34" s="54"/>
      <c r="R34" s="54"/>
      <c r="S34" s="112"/>
      <c r="T34" s="112"/>
      <c r="U34" s="49"/>
      <c r="V34" s="49"/>
      <c r="W34" s="49"/>
      <c r="X34" s="46"/>
      <c r="Y34" s="49"/>
      <c r="Z34" s="49"/>
      <c r="AG34" s="49"/>
    </row>
    <row r="35" spans="1:29" s="112" customFormat="1" ht="15.75">
      <c r="A35" s="112" t="s">
        <v>358</v>
      </c>
      <c r="D35" s="52"/>
      <c r="E35" s="52"/>
      <c r="J35" s="49"/>
      <c r="K35" s="49"/>
      <c r="P35" s="49"/>
      <c r="Q35" s="49"/>
      <c r="V35" s="49"/>
      <c r="W35" s="49"/>
      <c r="AB35" s="49"/>
      <c r="AC35" s="49"/>
    </row>
    <row r="36" spans="1:33" s="139" customFormat="1" ht="15.75">
      <c r="A36" s="143" t="s">
        <v>198</v>
      </c>
      <c r="B36" s="143"/>
      <c r="D36" s="136"/>
      <c r="E36" s="136"/>
      <c r="F36" s="136"/>
      <c r="G36" s="144"/>
      <c r="H36" s="136"/>
      <c r="I36" s="136"/>
      <c r="J36" s="136"/>
      <c r="K36" s="136"/>
      <c r="L36" s="136"/>
      <c r="M36" s="144"/>
      <c r="N36" s="136"/>
      <c r="O36" s="136"/>
      <c r="P36" s="136"/>
      <c r="Q36" s="136"/>
      <c r="R36" s="136"/>
      <c r="S36" s="144"/>
      <c r="T36" s="136"/>
      <c r="U36" s="136"/>
      <c r="V36" s="137"/>
      <c r="W36" s="137"/>
      <c r="X36" s="137"/>
      <c r="Y36" s="138"/>
      <c r="Z36" s="137"/>
      <c r="AA36" s="137"/>
      <c r="AF36" s="137"/>
      <c r="AG36" s="137"/>
    </row>
    <row r="37" spans="1:33" ht="15.75">
      <c r="A37" s="46"/>
      <c r="B37" s="46"/>
      <c r="C37" s="46"/>
      <c r="F37" s="53" t="s">
        <v>89</v>
      </c>
      <c r="G37" s="53" t="s">
        <v>90</v>
      </c>
      <c r="H37" s="53" t="s">
        <v>91</v>
      </c>
      <c r="I37" s="53" t="s">
        <v>92</v>
      </c>
      <c r="J37" s="53" t="s">
        <v>23</v>
      </c>
      <c r="K37" s="53" t="s">
        <v>93</v>
      </c>
      <c r="L37" s="53" t="s">
        <v>94</v>
      </c>
      <c r="M37" s="53" t="s">
        <v>95</v>
      </c>
      <c r="N37" s="53" t="s">
        <v>96</v>
      </c>
      <c r="O37" s="53" t="s">
        <v>97</v>
      </c>
      <c r="P37" s="53" t="s">
        <v>98</v>
      </c>
      <c r="Q37" s="53" t="s">
        <v>99</v>
      </c>
      <c r="R37" s="53" t="s">
        <v>73</v>
      </c>
      <c r="V37" s="49"/>
      <c r="W37" s="49"/>
      <c r="X37" s="49"/>
      <c r="Y37" s="52"/>
      <c r="Z37" s="49"/>
      <c r="AA37" s="49"/>
      <c r="AF37" s="49"/>
      <c r="AG37" s="49"/>
    </row>
    <row r="38" spans="1:33" ht="15.75">
      <c r="A38" s="46"/>
      <c r="B38" s="46"/>
      <c r="C38" s="46"/>
      <c r="F38" s="53"/>
      <c r="G38" s="50"/>
      <c r="H38" s="50"/>
      <c r="I38" s="53"/>
      <c r="J38" s="50"/>
      <c r="K38" s="50"/>
      <c r="L38" s="50"/>
      <c r="M38" s="50"/>
      <c r="N38" s="53"/>
      <c r="O38" s="50"/>
      <c r="P38" s="53"/>
      <c r="Q38" s="50"/>
      <c r="R38" s="53"/>
      <c r="V38" s="49"/>
      <c r="W38" s="49"/>
      <c r="X38" s="49"/>
      <c r="Y38" s="52"/>
      <c r="Z38" s="49"/>
      <c r="AA38" s="49"/>
      <c r="AF38" s="49"/>
      <c r="AG38" s="49"/>
    </row>
    <row r="39" spans="1:33" ht="15.75">
      <c r="A39" s="46" t="s">
        <v>343</v>
      </c>
      <c r="B39" s="46"/>
      <c r="C39" s="49"/>
      <c r="F39" s="307">
        <v>0.12</v>
      </c>
      <c r="G39" s="307">
        <v>0.75</v>
      </c>
      <c r="H39" s="307">
        <v>1.02</v>
      </c>
      <c r="I39" s="307">
        <v>2.6</v>
      </c>
      <c r="J39" s="307">
        <v>3.94</v>
      </c>
      <c r="K39" s="307">
        <v>6.07</v>
      </c>
      <c r="L39" s="307">
        <v>4.71</v>
      </c>
      <c r="M39" s="307">
        <v>4.2</v>
      </c>
      <c r="N39" s="307">
        <v>0.05</v>
      </c>
      <c r="O39" s="307">
        <v>1.57</v>
      </c>
      <c r="P39" s="307">
        <v>0.85</v>
      </c>
      <c r="Q39" s="307">
        <v>0.01</v>
      </c>
      <c r="R39" s="49">
        <f>SUM(F39:Q39)</f>
        <v>25.890000000000004</v>
      </c>
      <c r="V39" s="49"/>
      <c r="W39" s="49"/>
      <c r="X39" s="49"/>
      <c r="Y39" s="52"/>
      <c r="Z39" s="49"/>
      <c r="AA39" s="49"/>
      <c r="AB39" s="49"/>
      <c r="AC39" s="49"/>
      <c r="AD39" s="49"/>
      <c r="AE39" s="52"/>
      <c r="AF39" s="298"/>
      <c r="AG39" s="49"/>
    </row>
    <row r="40" spans="1:34" ht="15.75">
      <c r="A40" s="46" t="s">
        <v>100</v>
      </c>
      <c r="B40" s="46"/>
      <c r="C40" s="49"/>
      <c r="F40" s="49">
        <f aca="true" t="shared" si="26" ref="F40:Q40">F39/$R39</f>
        <v>0.004634994206257241</v>
      </c>
      <c r="G40" s="49">
        <f t="shared" si="26"/>
        <v>0.02896871378910776</v>
      </c>
      <c r="H40" s="49">
        <f t="shared" si="26"/>
        <v>0.039397450753186555</v>
      </c>
      <c r="I40" s="49">
        <f t="shared" si="26"/>
        <v>0.1004248744689069</v>
      </c>
      <c r="J40" s="49">
        <f t="shared" si="26"/>
        <v>0.15218230977211275</v>
      </c>
      <c r="K40" s="49">
        <f t="shared" si="26"/>
        <v>0.23445345693317882</v>
      </c>
      <c r="L40" s="49">
        <f t="shared" si="26"/>
        <v>0.18192352259559672</v>
      </c>
      <c r="M40" s="49">
        <f t="shared" si="26"/>
        <v>0.16222479721900346</v>
      </c>
      <c r="N40" s="49">
        <f t="shared" si="26"/>
        <v>0.0019312475859405173</v>
      </c>
      <c r="O40" s="49">
        <f t="shared" si="26"/>
        <v>0.060641174198532245</v>
      </c>
      <c r="P40" s="49">
        <f t="shared" si="26"/>
        <v>0.032831208960988796</v>
      </c>
      <c r="Q40" s="49">
        <f t="shared" si="26"/>
        <v>0.00038624951718810345</v>
      </c>
      <c r="R40" s="49">
        <f>SUM(F40:Q40)</f>
        <v>0.9999999999999999</v>
      </c>
      <c r="V40" s="49"/>
      <c r="W40" s="49"/>
      <c r="X40" s="49"/>
      <c r="Y40" s="52"/>
      <c r="Z40" s="49"/>
      <c r="AA40" s="49"/>
      <c r="AB40" s="49"/>
      <c r="AC40" s="49"/>
      <c r="AD40" s="49"/>
      <c r="AE40" s="52"/>
      <c r="AF40" s="49"/>
      <c r="AG40" s="49"/>
      <c r="AH40" s="297"/>
    </row>
    <row r="41" spans="1:33" ht="15.75" thickBot="1">
      <c r="A41" s="46"/>
      <c r="B41" s="46"/>
      <c r="C41" s="49"/>
      <c r="F41" s="49"/>
      <c r="G41" s="52"/>
      <c r="H41" s="49"/>
      <c r="I41" s="49"/>
      <c r="J41" s="49"/>
      <c r="K41" s="49"/>
      <c r="L41" s="49"/>
      <c r="M41" s="52"/>
      <c r="N41" s="49"/>
      <c r="O41" s="49"/>
      <c r="P41" s="49"/>
      <c r="Q41" s="49"/>
      <c r="R41" s="49"/>
      <c r="S41" s="52"/>
      <c r="T41" s="49"/>
      <c r="V41" s="49"/>
      <c r="W41" s="49"/>
      <c r="X41" s="49"/>
      <c r="Y41" s="52"/>
      <c r="Z41" s="49"/>
      <c r="AA41" s="49"/>
      <c r="AB41" s="49"/>
      <c r="AC41" s="49"/>
      <c r="AD41" s="49"/>
      <c r="AE41" s="52"/>
      <c r="AF41" s="49"/>
      <c r="AG41" s="49"/>
    </row>
    <row r="42" spans="1:33" s="137" customFormat="1" ht="15.75" thickBot="1">
      <c r="A42" s="136" t="s">
        <v>197</v>
      </c>
      <c r="B42" s="136"/>
      <c r="F42" s="340">
        <v>22.88</v>
      </c>
      <c r="G42" s="145" t="s">
        <v>10</v>
      </c>
      <c r="Z42" s="136"/>
      <c r="AA42" s="136"/>
      <c r="AB42" s="136"/>
      <c r="AC42" s="136"/>
      <c r="AD42" s="136"/>
      <c r="AE42" s="144"/>
      <c r="AF42" s="136"/>
      <c r="AG42" s="136"/>
    </row>
    <row r="43" spans="1:33" ht="15.75">
      <c r="A43" s="46"/>
      <c r="B43" s="46"/>
      <c r="C43" s="49"/>
      <c r="F43" s="53" t="s">
        <v>89</v>
      </c>
      <c r="G43" s="53" t="s">
        <v>90</v>
      </c>
      <c r="H43" s="53" t="s">
        <v>91</v>
      </c>
      <c r="I43" s="53" t="s">
        <v>92</v>
      </c>
      <c r="J43" s="53" t="s">
        <v>23</v>
      </c>
      <c r="K43" s="53" t="s">
        <v>93</v>
      </c>
      <c r="L43" s="53" t="s">
        <v>94</v>
      </c>
      <c r="M43" s="53" t="s">
        <v>95</v>
      </c>
      <c r="N43" s="53" t="s">
        <v>96</v>
      </c>
      <c r="O43" s="53" t="s">
        <v>97</v>
      </c>
      <c r="P43" s="53" t="s">
        <v>98</v>
      </c>
      <c r="Q43" s="53" t="s">
        <v>99</v>
      </c>
      <c r="R43" s="53" t="s">
        <v>73</v>
      </c>
      <c r="V43" s="49"/>
      <c r="W43" s="49"/>
      <c r="X43" s="49"/>
      <c r="Y43" s="52"/>
      <c r="Z43" s="49"/>
      <c r="AA43" s="49"/>
      <c r="AB43" s="49"/>
      <c r="AC43" s="49"/>
      <c r="AD43" s="49"/>
      <c r="AE43" s="52"/>
      <c r="AF43" s="49"/>
      <c r="AG43" s="49"/>
    </row>
    <row r="44" spans="1:33" ht="15.75">
      <c r="A44" s="46"/>
      <c r="B44" s="46"/>
      <c r="C44" s="49"/>
      <c r="F44" s="53"/>
      <c r="G44" s="50"/>
      <c r="H44" s="50"/>
      <c r="I44" s="53"/>
      <c r="J44" s="50"/>
      <c r="K44" s="50"/>
      <c r="L44" s="50"/>
      <c r="M44" s="50"/>
      <c r="N44" s="53"/>
      <c r="O44" s="50"/>
      <c r="P44" s="53"/>
      <c r="Q44" s="50"/>
      <c r="R44" s="53"/>
      <c r="V44" s="49"/>
      <c r="W44" s="49"/>
      <c r="X44" s="49"/>
      <c r="Y44" s="52"/>
      <c r="Z44" s="49"/>
      <c r="AA44" s="49"/>
      <c r="AB44" s="49"/>
      <c r="AC44" s="49"/>
      <c r="AD44" s="49"/>
      <c r="AE44" s="52"/>
      <c r="AF44" s="49"/>
      <c r="AG44" s="49"/>
    </row>
    <row r="45" spans="1:33" ht="15.75">
      <c r="A45" s="46" t="s">
        <v>7</v>
      </c>
      <c r="B45" s="46"/>
      <c r="C45" s="49"/>
      <c r="F45" s="49">
        <f aca="true" t="shared" si="27" ref="F45:Q45">F40*$F42</f>
        <v>0.10604866743916568</v>
      </c>
      <c r="G45" s="49">
        <f t="shared" si="27"/>
        <v>0.6628041714947854</v>
      </c>
      <c r="H45" s="49">
        <f t="shared" si="27"/>
        <v>0.9014136732329083</v>
      </c>
      <c r="I45" s="49">
        <f t="shared" si="27"/>
        <v>2.2977211278485896</v>
      </c>
      <c r="J45" s="49">
        <f t="shared" si="27"/>
        <v>3.4819312475859396</v>
      </c>
      <c r="K45" s="49">
        <f t="shared" si="27"/>
        <v>5.364295094631131</v>
      </c>
      <c r="L45" s="49">
        <f t="shared" si="27"/>
        <v>4.162410196987253</v>
      </c>
      <c r="M45" s="49">
        <f t="shared" si="27"/>
        <v>3.711703360370799</v>
      </c>
      <c r="N45" s="49">
        <f t="shared" si="27"/>
        <v>0.044186944766319035</v>
      </c>
      <c r="O45" s="49">
        <f t="shared" si="27"/>
        <v>1.3874700656624177</v>
      </c>
      <c r="P45" s="49">
        <f t="shared" si="27"/>
        <v>0.7511780610274236</v>
      </c>
      <c r="Q45" s="49">
        <f t="shared" si="27"/>
        <v>0.008837388953263806</v>
      </c>
      <c r="R45" s="49">
        <f>SUM(F45:Q45)</f>
        <v>22.879999999999995</v>
      </c>
      <c r="V45" s="49"/>
      <c r="W45" s="49"/>
      <c r="Y45" s="52"/>
      <c r="Z45" s="49"/>
      <c r="AA45" s="49"/>
      <c r="AB45" s="49"/>
      <c r="AC45" s="49"/>
      <c r="AD45" s="49"/>
      <c r="AE45" s="296"/>
      <c r="AF45" s="49"/>
      <c r="AG45" s="49"/>
    </row>
    <row r="46" spans="1:33" ht="15.75">
      <c r="A46" s="46" t="s">
        <v>6</v>
      </c>
      <c r="B46" s="46"/>
      <c r="C46" s="49"/>
      <c r="F46" s="49">
        <f aca="true" t="shared" si="28" ref="F46:Q46">F45/12</f>
        <v>0.008837388953263806</v>
      </c>
      <c r="G46" s="49">
        <f t="shared" si="28"/>
        <v>0.05523368095789879</v>
      </c>
      <c r="H46" s="49">
        <f t="shared" si="28"/>
        <v>0.07511780610274237</v>
      </c>
      <c r="I46" s="49">
        <f t="shared" si="28"/>
        <v>0.19147676065404914</v>
      </c>
      <c r="J46" s="49">
        <f t="shared" si="28"/>
        <v>0.2901609372988283</v>
      </c>
      <c r="K46" s="49">
        <f t="shared" si="28"/>
        <v>0.4470245912192609</v>
      </c>
      <c r="L46" s="49">
        <f t="shared" si="28"/>
        <v>0.34686751641560437</v>
      </c>
      <c r="M46" s="49">
        <f t="shared" si="28"/>
        <v>0.30930861336423326</v>
      </c>
      <c r="N46" s="49">
        <f t="shared" si="28"/>
        <v>0.003682245397193253</v>
      </c>
      <c r="O46" s="49">
        <f t="shared" si="28"/>
        <v>0.11562250547186814</v>
      </c>
      <c r="P46" s="49">
        <f t="shared" si="28"/>
        <v>0.0625981717522853</v>
      </c>
      <c r="Q46" s="49">
        <f t="shared" si="28"/>
        <v>0.0007364490794386506</v>
      </c>
      <c r="R46" s="49">
        <f>SUM(F46:Q46)</f>
        <v>1.906666666666666</v>
      </c>
      <c r="U46" s="112"/>
      <c r="V46" s="49"/>
      <c r="W46" s="49"/>
      <c r="X46" s="49"/>
      <c r="Y46" s="52"/>
      <c r="Z46" s="49"/>
      <c r="AA46" s="49"/>
      <c r="AB46" s="49"/>
      <c r="AC46" s="49"/>
      <c r="AD46" s="49"/>
      <c r="AE46" s="52"/>
      <c r="AF46" s="49"/>
      <c r="AG46" s="49"/>
    </row>
    <row r="51" ht="15.75">
      <c r="B51" s="112"/>
    </row>
    <row r="52" ht="15.75">
      <c r="B52" s="112"/>
    </row>
    <row r="53" ht="15.75">
      <c r="B53" s="112"/>
    </row>
    <row r="54" ht="15.75">
      <c r="B54" s="112"/>
    </row>
    <row r="55" ht="15.75">
      <c r="B55" s="112"/>
    </row>
    <row r="56" ht="15.75">
      <c r="B56" s="112"/>
    </row>
    <row r="57" ht="15.75">
      <c r="B57" s="112"/>
    </row>
    <row r="58" ht="15.75">
      <c r="B58" s="112"/>
    </row>
    <row r="59" ht="15.75">
      <c r="B59" s="112"/>
    </row>
    <row r="60" ht="15.75">
      <c r="B60" s="112"/>
    </row>
    <row r="61" ht="15.75">
      <c r="B61" s="112"/>
    </row>
    <row r="62" ht="15.75">
      <c r="B62" s="112"/>
    </row>
  </sheetData>
  <sheetProtection password="CC93" sheet="1" objects="1" scenarios="1"/>
  <mergeCells count="11">
    <mergeCell ref="S27:X27"/>
    <mergeCell ref="F27:K27"/>
    <mergeCell ref="L27:Q27"/>
    <mergeCell ref="E6:J6"/>
    <mergeCell ref="K6:P6"/>
    <mergeCell ref="Q6:V6"/>
    <mergeCell ref="A3:C3"/>
    <mergeCell ref="E13:J24"/>
    <mergeCell ref="W6:AB6"/>
    <mergeCell ref="AC6:AH6"/>
    <mergeCell ref="AI6:AN6"/>
  </mergeCells>
  <printOptions gridLines="1" horizontalCentered="1"/>
  <pageMargins left="0.75" right="0.25" top="0.75" bottom="0.75" header="0.5" footer="0.5"/>
  <pageSetup fitToHeight="1" fitToWidth="1" horizontalDpi="600" verticalDpi="600" orientation="landscape" paperSize="17" scale="46" r:id="rId3"/>
  <headerFooter alignWithMargins="0">
    <oddHeader>&amp;L&amp;D</oddHeader>
    <oddFooter>&amp;L&amp;F&amp;R&amp;A</oddFooter>
  </headerFooter>
  <ignoredErrors>
    <ignoredError sqref="D14" formula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63"/>
  <sheetViews>
    <sheetView zoomScale="75" zoomScaleNormal="75" zoomScaleSheetLayoutView="75" zoomScalePageLayoutView="0" workbookViewId="0" topLeftCell="A1">
      <selection activeCell="A7" sqref="A7"/>
    </sheetView>
  </sheetViews>
  <sheetFormatPr defaultColWidth="9.140625" defaultRowHeight="12.75"/>
  <cols>
    <col min="1" max="1" width="28.28125" style="110" customWidth="1"/>
    <col min="2" max="46" width="10.7109375" style="110" customWidth="1"/>
    <col min="47" max="207" width="9.7109375" style="110" customWidth="1"/>
    <col min="208" max="16384" width="9.140625" style="110" customWidth="1"/>
  </cols>
  <sheetData>
    <row r="1" spans="1:33" ht="18">
      <c r="A1" s="190" t="s">
        <v>267</v>
      </c>
      <c r="B1" s="49" t="s">
        <v>266</v>
      </c>
      <c r="C1" s="49"/>
      <c r="D1" s="49"/>
      <c r="E1" s="49"/>
      <c r="F1" s="49"/>
      <c r="G1" s="52"/>
      <c r="H1" s="49"/>
      <c r="I1" s="49"/>
      <c r="J1" s="49"/>
      <c r="K1" s="49"/>
      <c r="L1" s="49"/>
      <c r="M1" s="52"/>
      <c r="O1" s="46"/>
      <c r="P1" s="46"/>
      <c r="Q1" s="46"/>
      <c r="R1" s="49"/>
      <c r="S1" s="52"/>
      <c r="T1" s="49"/>
      <c r="U1" s="49"/>
      <c r="V1" s="49"/>
      <c r="W1" s="49"/>
      <c r="X1" s="49"/>
      <c r="Y1" s="52"/>
      <c r="Z1" s="49"/>
      <c r="AA1" s="49"/>
      <c r="AB1" s="49"/>
      <c r="AC1" s="49"/>
      <c r="AD1" s="49"/>
      <c r="AE1" s="52"/>
      <c r="AF1" s="49"/>
      <c r="AG1" s="49"/>
    </row>
    <row r="2" spans="1:45" s="112" customFormat="1" ht="16.5" customHeight="1">
      <c r="A2" s="46" t="s">
        <v>264</v>
      </c>
      <c r="B2" s="46"/>
      <c r="C2" s="128"/>
      <c r="D2" s="123"/>
      <c r="E2" s="123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61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</row>
    <row r="3" spans="1:30" s="45" customFormat="1" ht="18">
      <c r="A3" s="389" t="s">
        <v>167</v>
      </c>
      <c r="B3" s="398"/>
      <c r="C3" s="399"/>
      <c r="D3" s="62">
        <v>0.375</v>
      </c>
      <c r="E3" s="45" t="s">
        <v>173</v>
      </c>
      <c r="P3" s="42"/>
      <c r="T3" s="42"/>
      <c r="Y3" s="42"/>
      <c r="AB3" s="4"/>
      <c r="AD3" s="54"/>
    </row>
    <row r="4" spans="1:33" ht="18">
      <c r="A4" s="117" t="s">
        <v>210</v>
      </c>
      <c r="B4" s="117"/>
      <c r="C4" s="112"/>
      <c r="F4" s="46"/>
      <c r="G4" s="50"/>
      <c r="H4" s="46"/>
      <c r="I4" s="46"/>
      <c r="J4" s="46"/>
      <c r="K4" s="46"/>
      <c r="L4" s="46"/>
      <c r="M4" s="50"/>
      <c r="N4" s="46"/>
      <c r="O4" s="46"/>
      <c r="P4" s="46"/>
      <c r="Q4" s="46"/>
      <c r="R4" s="46"/>
      <c r="S4" s="50"/>
      <c r="T4" s="46"/>
      <c r="U4" s="46"/>
      <c r="V4" s="49"/>
      <c r="W4" s="49"/>
      <c r="X4" s="49"/>
      <c r="Y4" s="52"/>
      <c r="Z4" s="46"/>
      <c r="AG4" s="49"/>
    </row>
    <row r="5" spans="1:46" s="61" customFormat="1" ht="18">
      <c r="A5" s="133" t="s">
        <v>194</v>
      </c>
      <c r="B5" s="133"/>
      <c r="C5" s="111"/>
      <c r="D5" s="111"/>
      <c r="E5" s="111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19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</row>
    <row r="6" spans="1:49" s="49" customFormat="1" ht="15.75" customHeight="1">
      <c r="A6" s="50"/>
      <c r="B6" s="50"/>
      <c r="D6" s="50"/>
      <c r="E6" s="390" t="s">
        <v>199</v>
      </c>
      <c r="F6" s="400"/>
      <c r="G6" s="400"/>
      <c r="H6" s="400"/>
      <c r="I6" s="400"/>
      <c r="J6" s="400"/>
      <c r="K6" s="394" t="s">
        <v>101</v>
      </c>
      <c r="L6" s="394"/>
      <c r="M6" s="394"/>
      <c r="N6" s="394"/>
      <c r="O6" s="394"/>
      <c r="P6" s="394"/>
      <c r="Q6" s="395" t="s">
        <v>218</v>
      </c>
      <c r="R6" s="395"/>
      <c r="S6" s="395"/>
      <c r="T6" s="395"/>
      <c r="U6" s="395"/>
      <c r="V6" s="395"/>
      <c r="W6" s="394" t="s">
        <v>219</v>
      </c>
      <c r="X6" s="394"/>
      <c r="Y6" s="394"/>
      <c r="Z6" s="394"/>
      <c r="AA6" s="394"/>
      <c r="AB6" s="394"/>
      <c r="AC6" s="395" t="s">
        <v>220</v>
      </c>
      <c r="AD6" s="395"/>
      <c r="AE6" s="395"/>
      <c r="AF6" s="395"/>
      <c r="AG6" s="395"/>
      <c r="AH6" s="395"/>
      <c r="AI6" s="394" t="s">
        <v>221</v>
      </c>
      <c r="AJ6" s="394"/>
      <c r="AK6" s="394"/>
      <c r="AL6" s="394"/>
      <c r="AM6" s="394"/>
      <c r="AN6" s="394"/>
      <c r="AO6" s="395" t="s">
        <v>222</v>
      </c>
      <c r="AP6" s="395"/>
      <c r="AQ6" s="395"/>
      <c r="AR6" s="395"/>
      <c r="AS6" s="395"/>
      <c r="AT6" s="395"/>
      <c r="AU6" s="61"/>
      <c r="AV6" s="61"/>
      <c r="AW6" s="61"/>
    </row>
    <row r="7" spans="6:48" s="122" customFormat="1" ht="15">
      <c r="F7" s="338">
        <v>0</v>
      </c>
      <c r="G7" s="115" t="s">
        <v>191</v>
      </c>
      <c r="H7" s="115"/>
      <c r="I7" s="115"/>
      <c r="L7" s="338">
        <v>0</v>
      </c>
      <c r="M7" s="115" t="s">
        <v>191</v>
      </c>
      <c r="N7" s="115"/>
      <c r="O7" s="115"/>
      <c r="R7" s="338">
        <v>0</v>
      </c>
      <c r="S7" s="115" t="s">
        <v>191</v>
      </c>
      <c r="T7" s="115"/>
      <c r="U7" s="115"/>
      <c r="X7" s="338">
        <v>0.49</v>
      </c>
      <c r="Y7" s="115" t="s">
        <v>191</v>
      </c>
      <c r="Z7" s="115"/>
      <c r="AA7" s="115"/>
      <c r="AD7" s="338">
        <v>0</v>
      </c>
      <c r="AE7" s="115" t="s">
        <v>191</v>
      </c>
      <c r="AF7" s="115"/>
      <c r="AG7" s="115"/>
      <c r="AJ7" s="338">
        <v>1.26</v>
      </c>
      <c r="AK7" s="115" t="s">
        <v>191</v>
      </c>
      <c r="AL7" s="115"/>
      <c r="AM7" s="115"/>
      <c r="AP7" s="338">
        <v>0</v>
      </c>
      <c r="AQ7" s="115" t="s">
        <v>191</v>
      </c>
      <c r="AR7" s="115"/>
      <c r="AS7" s="115"/>
      <c r="AV7" s="115"/>
    </row>
    <row r="8" spans="6:48" s="122" customFormat="1" ht="15">
      <c r="F8" s="54">
        <v>0</v>
      </c>
      <c r="G8" s="115" t="s">
        <v>212</v>
      </c>
      <c r="H8" s="115"/>
      <c r="I8" s="115"/>
      <c r="L8" s="54">
        <v>0</v>
      </c>
      <c r="M8" s="115" t="s">
        <v>212</v>
      </c>
      <c r="N8" s="115"/>
      <c r="O8" s="115"/>
      <c r="R8" s="54">
        <v>0</v>
      </c>
      <c r="S8" s="115" t="s">
        <v>212</v>
      </c>
      <c r="T8" s="115"/>
      <c r="U8" s="115"/>
      <c r="X8" s="54">
        <v>0</v>
      </c>
      <c r="Y8" s="115" t="s">
        <v>212</v>
      </c>
      <c r="Z8" s="115"/>
      <c r="AA8" s="115"/>
      <c r="AD8" s="54">
        <v>0</v>
      </c>
      <c r="AE8" s="115" t="s">
        <v>212</v>
      </c>
      <c r="AF8" s="115"/>
      <c r="AG8" s="115"/>
      <c r="AJ8" s="54"/>
      <c r="AK8" s="115" t="s">
        <v>212</v>
      </c>
      <c r="AL8" s="115"/>
      <c r="AM8" s="115"/>
      <c r="AP8" s="54"/>
      <c r="AQ8" s="115" t="s">
        <v>212</v>
      </c>
      <c r="AR8" s="115"/>
      <c r="AS8" s="115"/>
      <c r="AV8" s="112"/>
    </row>
    <row r="9" spans="3:43" s="112" customFormat="1" ht="15">
      <c r="C9" s="130"/>
      <c r="D9" s="49"/>
      <c r="E9" s="49"/>
      <c r="F9" s="341">
        <v>50.21</v>
      </c>
      <c r="G9" s="112" t="s">
        <v>200</v>
      </c>
      <c r="J9" s="49"/>
      <c r="K9" s="49"/>
      <c r="L9" s="338">
        <v>0</v>
      </c>
      <c r="M9" s="112" t="s">
        <v>200</v>
      </c>
      <c r="P9" s="49"/>
      <c r="Q9" s="49"/>
      <c r="R9" s="341">
        <v>78.82</v>
      </c>
      <c r="S9" s="112" t="s">
        <v>200</v>
      </c>
      <c r="V9" s="49"/>
      <c r="W9" s="49"/>
      <c r="X9" s="341">
        <v>23.5</v>
      </c>
      <c r="Y9" s="112" t="s">
        <v>200</v>
      </c>
      <c r="AB9" s="49"/>
      <c r="AC9" s="49"/>
      <c r="AD9" s="341">
        <v>16.32</v>
      </c>
      <c r="AE9" s="112" t="s">
        <v>200</v>
      </c>
      <c r="AJ9" s="341">
        <v>10.25</v>
      </c>
      <c r="AK9" s="112" t="s">
        <v>200</v>
      </c>
      <c r="AP9" s="341">
        <v>0</v>
      </c>
      <c r="AQ9" s="112" t="s">
        <v>200</v>
      </c>
    </row>
    <row r="10" spans="3:43" s="112" customFormat="1" ht="15">
      <c r="C10" s="130"/>
      <c r="F10" s="54">
        <f>SUM(F7:F9)</f>
        <v>50.21</v>
      </c>
      <c r="G10" s="49" t="s">
        <v>201</v>
      </c>
      <c r="H10" s="49"/>
      <c r="I10" s="49"/>
      <c r="L10" s="54">
        <f>SUM(L7:L9)</f>
        <v>0</v>
      </c>
      <c r="M10" s="49" t="s">
        <v>201</v>
      </c>
      <c r="N10" s="49"/>
      <c r="O10" s="49"/>
      <c r="R10" s="54">
        <f>SUM(R7:R9)</f>
        <v>78.82</v>
      </c>
      <c r="S10" s="49" t="s">
        <v>201</v>
      </c>
      <c r="T10" s="49"/>
      <c r="U10" s="49"/>
      <c r="X10" s="54">
        <f>SUM(X7:X9)</f>
        <v>23.99</v>
      </c>
      <c r="Y10" s="49" t="s">
        <v>201</v>
      </c>
      <c r="Z10" s="49"/>
      <c r="AA10" s="49"/>
      <c r="AD10" s="54">
        <f>SUM(AD7:AD9)</f>
        <v>16.32</v>
      </c>
      <c r="AE10" s="49" t="s">
        <v>201</v>
      </c>
      <c r="AF10" s="49"/>
      <c r="AJ10" s="54">
        <f>SUM(AJ7:AJ9)</f>
        <v>11.51</v>
      </c>
      <c r="AK10" s="49" t="s">
        <v>201</v>
      </c>
      <c r="AP10" s="54">
        <f>SUM(AP7:AP9)</f>
        <v>0</v>
      </c>
      <c r="AQ10" s="49" t="s">
        <v>201</v>
      </c>
    </row>
    <row r="11" spans="1:46" s="127" customFormat="1" ht="93.75" customHeight="1">
      <c r="A11" s="125" t="s">
        <v>88</v>
      </c>
      <c r="B11" s="50" t="s">
        <v>265</v>
      </c>
      <c r="C11" s="124" t="s">
        <v>206</v>
      </c>
      <c r="D11" s="126" t="s">
        <v>196</v>
      </c>
      <c r="E11" s="125" t="s">
        <v>19</v>
      </c>
      <c r="F11" s="126" t="s">
        <v>362</v>
      </c>
      <c r="G11" s="126" t="s">
        <v>217</v>
      </c>
      <c r="H11" s="126" t="s">
        <v>192</v>
      </c>
      <c r="I11" s="126" t="s">
        <v>195</v>
      </c>
      <c r="J11" s="124" t="s">
        <v>297</v>
      </c>
      <c r="K11" s="125" t="s">
        <v>19</v>
      </c>
      <c r="L11" s="126" t="s">
        <v>362</v>
      </c>
      <c r="M11" s="126" t="s">
        <v>217</v>
      </c>
      <c r="N11" s="126" t="s">
        <v>192</v>
      </c>
      <c r="O11" s="126" t="s">
        <v>195</v>
      </c>
      <c r="P11" s="124" t="s">
        <v>297</v>
      </c>
      <c r="Q11" s="125" t="s">
        <v>19</v>
      </c>
      <c r="R11" s="126" t="s">
        <v>362</v>
      </c>
      <c r="S11" s="126" t="s">
        <v>217</v>
      </c>
      <c r="T11" s="126" t="s">
        <v>192</v>
      </c>
      <c r="U11" s="126" t="s">
        <v>195</v>
      </c>
      <c r="V11" s="124" t="s">
        <v>297</v>
      </c>
      <c r="W11" s="125" t="s">
        <v>19</v>
      </c>
      <c r="X11" s="126" t="s">
        <v>362</v>
      </c>
      <c r="Y11" s="126" t="s">
        <v>217</v>
      </c>
      <c r="Z11" s="126" t="s">
        <v>192</v>
      </c>
      <c r="AA11" s="126" t="s">
        <v>195</v>
      </c>
      <c r="AB11" s="124" t="s">
        <v>297</v>
      </c>
      <c r="AC11" s="125" t="s">
        <v>19</v>
      </c>
      <c r="AD11" s="126" t="s">
        <v>362</v>
      </c>
      <c r="AE11" s="126" t="s">
        <v>217</v>
      </c>
      <c r="AF11" s="126" t="s">
        <v>192</v>
      </c>
      <c r="AG11" s="126" t="s">
        <v>195</v>
      </c>
      <c r="AH11" s="124" t="s">
        <v>297</v>
      </c>
      <c r="AI11" s="125" t="s">
        <v>19</v>
      </c>
      <c r="AJ11" s="126" t="s">
        <v>362</v>
      </c>
      <c r="AK11" s="126" t="s">
        <v>217</v>
      </c>
      <c r="AL11" s="126" t="s">
        <v>192</v>
      </c>
      <c r="AM11" s="126" t="s">
        <v>195</v>
      </c>
      <c r="AN11" s="124" t="s">
        <v>297</v>
      </c>
      <c r="AO11" s="125" t="s">
        <v>19</v>
      </c>
      <c r="AP11" s="126" t="s">
        <v>362</v>
      </c>
      <c r="AQ11" s="126" t="s">
        <v>217</v>
      </c>
      <c r="AR11" s="126" t="s">
        <v>192</v>
      </c>
      <c r="AS11" s="126" t="s">
        <v>195</v>
      </c>
      <c r="AT11" s="124" t="s">
        <v>297</v>
      </c>
    </row>
    <row r="12" spans="1:46" s="127" customFormat="1" ht="15.75" customHeight="1">
      <c r="A12" s="55" t="s">
        <v>180</v>
      </c>
      <c r="B12" s="54">
        <f>F46/$D$3</f>
        <v>0</v>
      </c>
      <c r="C12" s="179">
        <f>1.74/12</f>
        <v>0.145</v>
      </c>
      <c r="D12" s="338">
        <f>0/12</f>
        <v>0</v>
      </c>
      <c r="E12" s="126"/>
      <c r="F12" s="54">
        <f>$F$7*(IF($C12-$D12&lt;0,0,ABS($C12-$D12)))</f>
        <v>0</v>
      </c>
      <c r="G12" s="54">
        <f>F12/$D$3</f>
        <v>0</v>
      </c>
      <c r="H12" s="49">
        <f>F$9*$B12</f>
        <v>0</v>
      </c>
      <c r="I12" s="54">
        <f>G12+H12</f>
        <v>0</v>
      </c>
      <c r="J12" s="54">
        <f>IF(E12-I12&gt;0,0,ABS(E12-I12))</f>
        <v>0</v>
      </c>
      <c r="K12" s="50"/>
      <c r="L12" s="54">
        <f aca="true" t="shared" si="0" ref="L12:L23">$L$7*(IF($C12-$D12&lt;0,0,ABS($C12-$D12)))</f>
        <v>0</v>
      </c>
      <c r="M12" s="54">
        <f>L12/$D$3</f>
        <v>0</v>
      </c>
      <c r="N12" s="49">
        <f>L$9*$B12</f>
        <v>0</v>
      </c>
      <c r="O12" s="54">
        <f>M12+N12</f>
        <v>0</v>
      </c>
      <c r="P12" s="54">
        <f>IF(K12-O12&gt;0,0,ABS(K12-O12))</f>
        <v>0</v>
      </c>
      <c r="Q12" s="50"/>
      <c r="R12" s="54">
        <f>R$7*(IF($C12-$D12&lt;0,0,ABS($C12-$D12)))</f>
        <v>0</v>
      </c>
      <c r="S12" s="54">
        <f>R12/$D$3</f>
        <v>0</v>
      </c>
      <c r="T12" s="49">
        <f>R$9*$B12</f>
        <v>0</v>
      </c>
      <c r="U12" s="54">
        <f>S12+T12</f>
        <v>0</v>
      </c>
      <c r="V12" s="54">
        <f>IF(Q12-U12&gt;0,0,ABS(Q12-U12))</f>
        <v>0</v>
      </c>
      <c r="W12" s="50"/>
      <c r="X12" s="54">
        <f aca="true" t="shared" si="1" ref="X12:X23">$X$7*(IF($C12-$D12&lt;0,0,ABS($C12-$D12)))</f>
        <v>0.07104999999999999</v>
      </c>
      <c r="Y12" s="54">
        <f>X12/$D$3</f>
        <v>0.18946666666666664</v>
      </c>
      <c r="Z12" s="49">
        <f>X$9*$B12</f>
        <v>0</v>
      </c>
      <c r="AA12" s="54">
        <f>Y12+Z12</f>
        <v>0.18946666666666664</v>
      </c>
      <c r="AB12" s="338">
        <v>0</v>
      </c>
      <c r="AC12" s="50"/>
      <c r="AD12" s="54">
        <f aca="true" t="shared" si="2" ref="AD12:AD23">$AD$7*(IF($C12-$D12&lt;0,0,ABS($C12-$D12)))</f>
        <v>0</v>
      </c>
      <c r="AE12" s="54">
        <f>AD12/$D$3</f>
        <v>0</v>
      </c>
      <c r="AF12" s="49">
        <f>AD$9*$B12</f>
        <v>0</v>
      </c>
      <c r="AG12" s="54">
        <f>AE12+AF12</f>
        <v>0</v>
      </c>
      <c r="AH12" s="54">
        <f>IF(AC12-AG12&gt;0,0,ABS(AC12-AG12))</f>
        <v>0</v>
      </c>
      <c r="AI12" s="50"/>
      <c r="AJ12" s="54">
        <f aca="true" t="shared" si="3" ref="AJ12:AJ23">$AJ$7*(IF($C12-$D12&lt;0,0,ABS($C12-$D12)))</f>
        <v>0.1827</v>
      </c>
      <c r="AK12" s="54">
        <f>AJ12/$D$3</f>
        <v>0.4872</v>
      </c>
      <c r="AL12" s="49">
        <f>AJ$9*$B12</f>
        <v>0</v>
      </c>
      <c r="AM12" s="54">
        <f>AK12+AL12</f>
        <v>0.4872</v>
      </c>
      <c r="AN12" s="338">
        <v>0</v>
      </c>
      <c r="AO12" s="50"/>
      <c r="AP12" s="54">
        <f>$AP$7*(IF($C12-$D12&lt;0,0,ABS($C12-$D12)))</f>
        <v>0</v>
      </c>
      <c r="AQ12" s="54">
        <f>AP12/$D$3</f>
        <v>0</v>
      </c>
      <c r="AR12" s="49">
        <f>AP$9*$B12</f>
        <v>0</v>
      </c>
      <c r="AS12" s="54">
        <f>AQ12+AR12</f>
        <v>0</v>
      </c>
      <c r="AT12" s="54">
        <f>IF(AO12-AS12&gt;0,0,ABS(AO12-AS12))</f>
        <v>0</v>
      </c>
    </row>
    <row r="13" spans="1:46" s="112" customFormat="1" ht="15.75">
      <c r="A13" s="55" t="s">
        <v>21</v>
      </c>
      <c r="B13" s="51">
        <f>G46/$D$3</f>
        <v>0</v>
      </c>
      <c r="C13" s="108">
        <f>2.3/12</f>
        <v>0.19166666666666665</v>
      </c>
      <c r="D13" s="324">
        <f>0.05/12</f>
        <v>0.004166666666666667</v>
      </c>
      <c r="E13" s="54"/>
      <c r="F13" s="54">
        <f aca="true" t="shared" si="4" ref="F13:F23">$F$7*(IF($C13-$D13&lt;0,0,ABS($C13-$D13)))</f>
        <v>0</v>
      </c>
      <c r="G13" s="54">
        <f>F13/$D$3</f>
        <v>0</v>
      </c>
      <c r="H13" s="49">
        <f>F$9*$B13</f>
        <v>0</v>
      </c>
      <c r="I13" s="54">
        <f aca="true" t="shared" si="5" ref="I13:I22">G13+H13</f>
        <v>0</v>
      </c>
      <c r="J13" s="54">
        <f>IF(E13-I13&gt;0,0,ABS(E13-I13))</f>
        <v>0</v>
      </c>
      <c r="K13" s="49"/>
      <c r="L13" s="54">
        <f t="shared" si="0"/>
        <v>0</v>
      </c>
      <c r="M13" s="54">
        <f>L13/$D$3</f>
        <v>0</v>
      </c>
      <c r="N13" s="49">
        <f>L$9*$B13</f>
        <v>0</v>
      </c>
      <c r="O13" s="54">
        <f aca="true" t="shared" si="6" ref="O13:O22">M13+N13</f>
        <v>0</v>
      </c>
      <c r="P13" s="54">
        <f>IF(K13-O13&gt;0,0,ABS(K13-O13))</f>
        <v>0</v>
      </c>
      <c r="Q13" s="49"/>
      <c r="R13" s="54">
        <f>R$7*(IF($C13-$D13&lt;0,0,ABS($C13-$D13)))</f>
        <v>0</v>
      </c>
      <c r="S13" s="54">
        <f>R13/$D$3</f>
        <v>0</v>
      </c>
      <c r="T13" s="49">
        <f aca="true" t="shared" si="7" ref="T13:T22">R$9*$B13</f>
        <v>0</v>
      </c>
      <c r="U13" s="54">
        <f aca="true" t="shared" si="8" ref="U13:U22">S13+T13</f>
        <v>0</v>
      </c>
      <c r="V13" s="54">
        <f>IF(Q13-U13&gt;0,0,ABS(Q13-U13))</f>
        <v>0</v>
      </c>
      <c r="W13" s="49"/>
      <c r="X13" s="54">
        <f t="shared" si="1"/>
        <v>0.09187499999999998</v>
      </c>
      <c r="Y13" s="54">
        <f>X13/$D$3</f>
        <v>0.24499999999999997</v>
      </c>
      <c r="Z13" s="49">
        <f aca="true" t="shared" si="9" ref="Z13:Z22">X$9*$B13</f>
        <v>0</v>
      </c>
      <c r="AA13" s="54">
        <f aca="true" t="shared" si="10" ref="AA13:AA22">Y13+Z13</f>
        <v>0.24499999999999997</v>
      </c>
      <c r="AB13" s="338">
        <v>0</v>
      </c>
      <c r="AC13" s="49"/>
      <c r="AD13" s="54">
        <f t="shared" si="2"/>
        <v>0</v>
      </c>
      <c r="AE13" s="54">
        <f>AD13/$D$3</f>
        <v>0</v>
      </c>
      <c r="AF13" s="49">
        <f aca="true" t="shared" si="11" ref="AF13:AF22">AD$9*$B13</f>
        <v>0</v>
      </c>
      <c r="AG13" s="54">
        <f aca="true" t="shared" si="12" ref="AG13:AG22">AE13+AF13</f>
        <v>0</v>
      </c>
      <c r="AH13" s="54">
        <f aca="true" t="shared" si="13" ref="AH13:AH23">IF(AC13-AG13&gt;0,0,ABS(AC13-AG13))</f>
        <v>0</v>
      </c>
      <c r="AI13" s="131"/>
      <c r="AJ13" s="54">
        <f t="shared" si="3"/>
        <v>0.23624999999999996</v>
      </c>
      <c r="AK13" s="54">
        <f>AJ13/$D$3</f>
        <v>0.6299999999999999</v>
      </c>
      <c r="AL13" s="49">
        <f aca="true" t="shared" si="14" ref="AL13:AL22">AJ$9*$B13</f>
        <v>0</v>
      </c>
      <c r="AM13" s="54">
        <f aca="true" t="shared" si="15" ref="AM13:AM22">AK13+AL13</f>
        <v>0.6299999999999999</v>
      </c>
      <c r="AN13" s="338">
        <v>0</v>
      </c>
      <c r="AO13" s="131"/>
      <c r="AP13" s="54">
        <f aca="true" t="shared" si="16" ref="AP13:AP23">$AP$7*(IF($C13-$D13&lt;0,0,ABS($C13-$D13)))</f>
        <v>0</v>
      </c>
      <c r="AQ13" s="54">
        <f>AP13/$D$3</f>
        <v>0</v>
      </c>
      <c r="AR13" s="49">
        <f aca="true" t="shared" si="17" ref="AR13:AR22">AP$9*$B13</f>
        <v>0</v>
      </c>
      <c r="AS13" s="54">
        <f aca="true" t="shared" si="18" ref="AS13:AS22">AQ13+AR13</f>
        <v>0</v>
      </c>
      <c r="AT13" s="54">
        <f>IF(AO13-AS13&gt;0,0,ABS(AO13-AS13))</f>
        <v>0</v>
      </c>
    </row>
    <row r="14" spans="1:46" s="112" customFormat="1" ht="15.75">
      <c r="A14" s="55" t="s">
        <v>20</v>
      </c>
      <c r="B14" s="51">
        <f>H46/$D$3</f>
        <v>0.06428584157533639</v>
      </c>
      <c r="C14" s="108">
        <f>4.82/12</f>
        <v>0.40166666666666667</v>
      </c>
      <c r="D14" s="324">
        <f>0.75/12</f>
        <v>0.0625</v>
      </c>
      <c r="E14" s="328">
        <v>0.5603302749999999</v>
      </c>
      <c r="F14" s="54">
        <f t="shared" si="4"/>
        <v>0</v>
      </c>
      <c r="G14" s="54">
        <f aca="true" t="shared" si="19" ref="G14:G22">F14/$D$3</f>
        <v>0</v>
      </c>
      <c r="H14" s="49">
        <f>F$9*$B14</f>
        <v>3.22779210549764</v>
      </c>
      <c r="I14" s="54">
        <f t="shared" si="5"/>
        <v>3.22779210549764</v>
      </c>
      <c r="J14" s="54">
        <f>IF(E14-I14&gt;0,0,ABS(E14-I14))</f>
        <v>2.66746183049764</v>
      </c>
      <c r="K14" s="328">
        <v>63.07664168287034</v>
      </c>
      <c r="L14" s="54">
        <f t="shared" si="0"/>
        <v>0</v>
      </c>
      <c r="M14" s="54">
        <f aca="true" t="shared" si="20" ref="M14:M22">L14/$D$3</f>
        <v>0</v>
      </c>
      <c r="N14" s="49">
        <f>L$9*$B14</f>
        <v>0</v>
      </c>
      <c r="O14" s="54">
        <f t="shared" si="6"/>
        <v>0</v>
      </c>
      <c r="P14" s="54">
        <f>IF(K14-O14&gt;0,0,ABS(K14-O14))</f>
        <v>0</v>
      </c>
      <c r="Q14" s="321">
        <v>0</v>
      </c>
      <c r="R14" s="54">
        <f>R$7*(IF($C14-$D14&lt;0,0,ABS($C14-$D14)))</f>
        <v>0</v>
      </c>
      <c r="S14" s="54">
        <f aca="true" t="shared" si="21" ref="S14:S22">R14/$D$3</f>
        <v>0</v>
      </c>
      <c r="T14" s="49">
        <f t="shared" si="7"/>
        <v>5.067010032968014</v>
      </c>
      <c r="U14" s="54">
        <f t="shared" si="8"/>
        <v>5.067010032968014</v>
      </c>
      <c r="V14" s="54">
        <f>IF(Q14-U14&gt;0,0,ABS(Q14-U14))</f>
        <v>5.067010032968014</v>
      </c>
      <c r="W14" s="321">
        <v>0</v>
      </c>
      <c r="X14" s="54">
        <f t="shared" si="1"/>
        <v>0.16619166666666665</v>
      </c>
      <c r="Y14" s="54">
        <f aca="true" t="shared" si="22" ref="Y14:Y22">X14/$D$3</f>
        <v>0.4431777777777777</v>
      </c>
      <c r="Z14" s="49">
        <f t="shared" si="9"/>
        <v>1.5107172770204051</v>
      </c>
      <c r="AA14" s="54">
        <f t="shared" si="10"/>
        <v>1.9538950547981828</v>
      </c>
      <c r="AB14" s="54">
        <f aca="true" t="shared" si="23" ref="AB14:AB22">IF(W14-AA14&gt;0,0,ABS(W14-AA14))</f>
        <v>1.9538950547981828</v>
      </c>
      <c r="AC14" s="321">
        <v>0</v>
      </c>
      <c r="AD14" s="54">
        <f t="shared" si="2"/>
        <v>0</v>
      </c>
      <c r="AE14" s="54">
        <f aca="true" t="shared" si="24" ref="AE14:AE22">AD14/$D$3</f>
        <v>0</v>
      </c>
      <c r="AF14" s="49">
        <f t="shared" si="11"/>
        <v>1.0491449345094899</v>
      </c>
      <c r="AG14" s="54">
        <f t="shared" si="12"/>
        <v>1.0491449345094899</v>
      </c>
      <c r="AH14" s="54">
        <f t="shared" si="13"/>
        <v>1.0491449345094899</v>
      </c>
      <c r="AI14" s="321">
        <v>406.3208082892963</v>
      </c>
      <c r="AJ14" s="54">
        <f t="shared" si="3"/>
        <v>0.42735</v>
      </c>
      <c r="AK14" s="54">
        <f aca="true" t="shared" si="25" ref="AK14:AK22">AJ14/$D$3</f>
        <v>1.1396</v>
      </c>
      <c r="AL14" s="49">
        <f t="shared" si="14"/>
        <v>0.658929876147198</v>
      </c>
      <c r="AM14" s="54">
        <f t="shared" si="15"/>
        <v>1.798529876147198</v>
      </c>
      <c r="AN14" s="54">
        <f aca="true" t="shared" si="26" ref="AN14:AN22">IF(AI14-AM14&gt;0,0,ABS(AI14-AM14))</f>
        <v>0</v>
      </c>
      <c r="AO14" s="321">
        <v>1.9530567933333316</v>
      </c>
      <c r="AP14" s="54">
        <f t="shared" si="16"/>
        <v>0</v>
      </c>
      <c r="AQ14" s="54">
        <f aca="true" t="shared" si="27" ref="AQ14:AQ22">AP14/$D$3</f>
        <v>0</v>
      </c>
      <c r="AR14" s="49">
        <f t="shared" si="17"/>
        <v>0</v>
      </c>
      <c r="AS14" s="54">
        <f t="shared" si="18"/>
        <v>0</v>
      </c>
      <c r="AT14" s="54">
        <f>IF(AO14-AS14&gt;0,0,ABS(AO14-AS14))</f>
        <v>0</v>
      </c>
    </row>
    <row r="15" spans="1:46" s="112" customFormat="1" ht="15.75">
      <c r="A15" s="55" t="s">
        <v>22</v>
      </c>
      <c r="B15" s="51">
        <f>I46/$D$3</f>
        <v>0.42731177047135355</v>
      </c>
      <c r="C15" s="108">
        <f>6.27/12</f>
        <v>0.5225</v>
      </c>
      <c r="D15" s="324">
        <f>0/12</f>
        <v>0</v>
      </c>
      <c r="E15" s="307">
        <v>210.39381682174496</v>
      </c>
      <c r="F15" s="54">
        <f t="shared" si="4"/>
        <v>0</v>
      </c>
      <c r="G15" s="54">
        <f t="shared" si="19"/>
        <v>0</v>
      </c>
      <c r="H15" s="49">
        <f aca="true" t="shared" si="28" ref="H15:H22">F$9*$B15</f>
        <v>21.455323995366662</v>
      </c>
      <c r="I15" s="54">
        <f t="shared" si="5"/>
        <v>21.455323995366662</v>
      </c>
      <c r="J15" s="54">
        <f aca="true" t="shared" si="29" ref="J15:J22">IF(E15-I15&gt;0,0,ABS(E15-I15))</f>
        <v>0</v>
      </c>
      <c r="K15" s="307">
        <v>134.2554139633102</v>
      </c>
      <c r="L15" s="54">
        <f t="shared" si="0"/>
        <v>0</v>
      </c>
      <c r="M15" s="54">
        <f t="shared" si="20"/>
        <v>0</v>
      </c>
      <c r="N15" s="49">
        <f aca="true" t="shared" si="30" ref="N15:N22">L$9*$B15</f>
        <v>0</v>
      </c>
      <c r="O15" s="54">
        <f t="shared" si="6"/>
        <v>0</v>
      </c>
      <c r="P15" s="54">
        <f aca="true" t="shared" si="31" ref="P15:P22">IF(K15-O15&gt;0,0,ABS(K15-O15))</f>
        <v>0</v>
      </c>
      <c r="Q15" s="322">
        <v>55.85109627229659</v>
      </c>
      <c r="R15" s="54">
        <f aca="true" t="shared" si="32" ref="R15:R22">R$7*(IF($C15-$D15&lt;0,0,ABS($C15-$D15)))</f>
        <v>0</v>
      </c>
      <c r="S15" s="54">
        <f t="shared" si="21"/>
        <v>0</v>
      </c>
      <c r="T15" s="49">
        <f t="shared" si="7"/>
        <v>33.68071374855209</v>
      </c>
      <c r="U15" s="54">
        <f t="shared" si="8"/>
        <v>33.68071374855209</v>
      </c>
      <c r="V15" s="54">
        <f aca="true" t="shared" si="33" ref="V15:V22">IF(Q15-U15&gt;0,0,ABS(Q15-U15))</f>
        <v>0</v>
      </c>
      <c r="W15" s="322">
        <v>67.33918623761136</v>
      </c>
      <c r="X15" s="54">
        <f t="shared" si="1"/>
        <v>0.256025</v>
      </c>
      <c r="Y15" s="54">
        <f t="shared" si="22"/>
        <v>0.6827333333333333</v>
      </c>
      <c r="Z15" s="49">
        <f t="shared" si="9"/>
        <v>10.041826606076809</v>
      </c>
      <c r="AA15" s="54">
        <f t="shared" si="10"/>
        <v>10.724559939410142</v>
      </c>
      <c r="AB15" s="54">
        <f t="shared" si="23"/>
        <v>0</v>
      </c>
      <c r="AC15" s="322">
        <v>150.141511550124</v>
      </c>
      <c r="AD15" s="54">
        <f t="shared" si="2"/>
        <v>0</v>
      </c>
      <c r="AE15" s="54">
        <f t="shared" si="24"/>
        <v>0</v>
      </c>
      <c r="AF15" s="49">
        <f t="shared" si="11"/>
        <v>6.97372809409249</v>
      </c>
      <c r="AG15" s="54">
        <f t="shared" si="12"/>
        <v>6.97372809409249</v>
      </c>
      <c r="AH15" s="54">
        <f t="shared" si="13"/>
        <v>0</v>
      </c>
      <c r="AI15" s="322">
        <v>289.6126530437499</v>
      </c>
      <c r="AJ15" s="54">
        <f t="shared" si="3"/>
        <v>0.65835</v>
      </c>
      <c r="AK15" s="54">
        <f t="shared" si="25"/>
        <v>1.7556</v>
      </c>
      <c r="AL15" s="49">
        <f t="shared" si="14"/>
        <v>4.379945647331374</v>
      </c>
      <c r="AM15" s="54">
        <f t="shared" si="15"/>
        <v>6.135545647331374</v>
      </c>
      <c r="AN15" s="54">
        <f t="shared" si="26"/>
        <v>0</v>
      </c>
      <c r="AO15" s="331">
        <v>4.370100938645831</v>
      </c>
      <c r="AP15" s="54">
        <f t="shared" si="16"/>
        <v>0</v>
      </c>
      <c r="AQ15" s="54">
        <f t="shared" si="27"/>
        <v>0</v>
      </c>
      <c r="AR15" s="49">
        <f t="shared" si="17"/>
        <v>0</v>
      </c>
      <c r="AS15" s="54">
        <f t="shared" si="18"/>
        <v>0</v>
      </c>
      <c r="AT15" s="54">
        <f aca="true" t="shared" si="34" ref="AT15:AT23">IF(AO15-AS15&gt;0,0,ABS(AO15-AS15))</f>
        <v>0</v>
      </c>
    </row>
    <row r="16" spans="1:46" s="112" customFormat="1" ht="15.75">
      <c r="A16" s="55" t="s">
        <v>23</v>
      </c>
      <c r="B16" s="51">
        <f>J46/$D$3</f>
        <v>0.8205898601087055</v>
      </c>
      <c r="C16" s="108">
        <f>7.22/12</f>
        <v>0.6016666666666667</v>
      </c>
      <c r="D16" s="324">
        <f>0.02/12</f>
        <v>0.0016666666666666668</v>
      </c>
      <c r="E16" s="307">
        <v>213.24759110239597</v>
      </c>
      <c r="F16" s="54">
        <f t="shared" si="4"/>
        <v>0</v>
      </c>
      <c r="G16" s="54">
        <f t="shared" si="19"/>
        <v>0</v>
      </c>
      <c r="H16" s="49">
        <f t="shared" si="28"/>
        <v>41.2018168760581</v>
      </c>
      <c r="I16" s="54">
        <f t="shared" si="5"/>
        <v>41.2018168760581</v>
      </c>
      <c r="J16" s="54">
        <f t="shared" si="29"/>
        <v>0</v>
      </c>
      <c r="K16" s="307">
        <v>94.65703179586008</v>
      </c>
      <c r="L16" s="54">
        <f t="shared" si="0"/>
        <v>0</v>
      </c>
      <c r="M16" s="54">
        <f t="shared" si="20"/>
        <v>0</v>
      </c>
      <c r="N16" s="49">
        <f t="shared" si="30"/>
        <v>0</v>
      </c>
      <c r="O16" s="54">
        <f t="shared" si="6"/>
        <v>0</v>
      </c>
      <c r="P16" s="54">
        <f t="shared" si="31"/>
        <v>0</v>
      </c>
      <c r="Q16" s="322">
        <v>64.55415531256449</v>
      </c>
      <c r="R16" s="54">
        <f t="shared" si="32"/>
        <v>0</v>
      </c>
      <c r="S16" s="54">
        <f t="shared" si="21"/>
        <v>0</v>
      </c>
      <c r="T16" s="49">
        <f t="shared" si="7"/>
        <v>64.67889277376815</v>
      </c>
      <c r="U16" s="54">
        <f t="shared" si="8"/>
        <v>64.67889277376815</v>
      </c>
      <c r="V16" s="54">
        <f t="shared" si="33"/>
        <v>0.12473746120366513</v>
      </c>
      <c r="W16" s="322">
        <v>185.30383557744798</v>
      </c>
      <c r="X16" s="54">
        <f t="shared" si="1"/>
        <v>0.294</v>
      </c>
      <c r="Y16" s="54">
        <f t="shared" si="22"/>
        <v>0.7839999999999999</v>
      </c>
      <c r="Z16" s="49">
        <f t="shared" si="9"/>
        <v>19.28386171255458</v>
      </c>
      <c r="AA16" s="54">
        <f t="shared" si="10"/>
        <v>20.067861712554578</v>
      </c>
      <c r="AB16" s="54">
        <f t="shared" si="23"/>
        <v>0</v>
      </c>
      <c r="AC16" s="322">
        <v>131.23806894940515</v>
      </c>
      <c r="AD16" s="54">
        <f t="shared" si="2"/>
        <v>0</v>
      </c>
      <c r="AE16" s="54">
        <f t="shared" si="24"/>
        <v>0</v>
      </c>
      <c r="AF16" s="49">
        <f t="shared" si="11"/>
        <v>13.392026516974074</v>
      </c>
      <c r="AG16" s="54">
        <f t="shared" si="12"/>
        <v>13.392026516974074</v>
      </c>
      <c r="AH16" s="54">
        <f t="shared" si="13"/>
        <v>0</v>
      </c>
      <c r="AI16" s="322">
        <v>230.78136694638155</v>
      </c>
      <c r="AJ16" s="54">
        <f t="shared" si="3"/>
        <v>0.756</v>
      </c>
      <c r="AK16" s="54">
        <f t="shared" si="25"/>
        <v>2.016</v>
      </c>
      <c r="AL16" s="49">
        <f t="shared" si="14"/>
        <v>8.411046066114231</v>
      </c>
      <c r="AM16" s="54">
        <f t="shared" si="15"/>
        <v>10.427046066114231</v>
      </c>
      <c r="AN16" s="54">
        <f t="shared" si="26"/>
        <v>0</v>
      </c>
      <c r="AO16" s="331">
        <v>1.114131627916667</v>
      </c>
      <c r="AP16" s="54">
        <f t="shared" si="16"/>
        <v>0</v>
      </c>
      <c r="AQ16" s="54">
        <f t="shared" si="27"/>
        <v>0</v>
      </c>
      <c r="AR16" s="49">
        <f t="shared" si="17"/>
        <v>0</v>
      </c>
      <c r="AS16" s="54">
        <f t="shared" si="18"/>
        <v>0</v>
      </c>
      <c r="AT16" s="54">
        <f t="shared" si="34"/>
        <v>0</v>
      </c>
    </row>
    <row r="17" spans="1:46" s="112" customFormat="1" ht="15.75">
      <c r="A17" s="55" t="s">
        <v>24</v>
      </c>
      <c r="B17" s="51">
        <f>K46/$D$3</f>
        <v>1.1741619887730554</v>
      </c>
      <c r="C17" s="108">
        <f>8.62/12</f>
        <v>0.7183333333333333</v>
      </c>
      <c r="D17" s="324">
        <f>0.67/12</f>
        <v>0.05583333333333334</v>
      </c>
      <c r="E17" s="307">
        <v>63.816793944947904</v>
      </c>
      <c r="F17" s="54">
        <f t="shared" si="4"/>
        <v>0</v>
      </c>
      <c r="G17" s="54">
        <f t="shared" si="19"/>
        <v>0</v>
      </c>
      <c r="H17" s="49">
        <f t="shared" si="28"/>
        <v>58.95467345629511</v>
      </c>
      <c r="I17" s="54">
        <f t="shared" si="5"/>
        <v>58.95467345629511</v>
      </c>
      <c r="J17" s="54">
        <f t="shared" si="29"/>
        <v>0</v>
      </c>
      <c r="K17" s="307">
        <v>9.088333001851852</v>
      </c>
      <c r="L17" s="54">
        <f t="shared" si="0"/>
        <v>0</v>
      </c>
      <c r="M17" s="54">
        <f t="shared" si="20"/>
        <v>0</v>
      </c>
      <c r="N17" s="49">
        <f t="shared" si="30"/>
        <v>0</v>
      </c>
      <c r="O17" s="54">
        <f t="shared" si="6"/>
        <v>0</v>
      </c>
      <c r="P17" s="54">
        <f t="shared" si="31"/>
        <v>0</v>
      </c>
      <c r="Q17" s="322">
        <v>14.127050592628969</v>
      </c>
      <c r="R17" s="54">
        <f t="shared" si="32"/>
        <v>0</v>
      </c>
      <c r="S17" s="54">
        <f t="shared" si="21"/>
        <v>0</v>
      </c>
      <c r="T17" s="49">
        <f t="shared" si="7"/>
        <v>92.54744795509222</v>
      </c>
      <c r="U17" s="54">
        <f t="shared" si="8"/>
        <v>92.54744795509222</v>
      </c>
      <c r="V17" s="54">
        <f t="shared" si="33"/>
        <v>78.42039736246326</v>
      </c>
      <c r="W17" s="322">
        <v>37.490922624865306</v>
      </c>
      <c r="X17" s="54">
        <f t="shared" si="1"/>
        <v>0.324625</v>
      </c>
      <c r="Y17" s="54">
        <f t="shared" si="22"/>
        <v>0.8656666666666667</v>
      </c>
      <c r="Z17" s="49">
        <f t="shared" si="9"/>
        <v>27.592806736166803</v>
      </c>
      <c r="AA17" s="54">
        <f t="shared" si="10"/>
        <v>28.45847340283347</v>
      </c>
      <c r="AB17" s="54">
        <f t="shared" si="23"/>
        <v>0</v>
      </c>
      <c r="AC17" s="322">
        <v>21.09133995292847</v>
      </c>
      <c r="AD17" s="54">
        <f t="shared" si="2"/>
        <v>0</v>
      </c>
      <c r="AE17" s="54">
        <f t="shared" si="24"/>
        <v>0</v>
      </c>
      <c r="AF17" s="49">
        <f t="shared" si="11"/>
        <v>19.162323656776266</v>
      </c>
      <c r="AG17" s="54">
        <f t="shared" si="12"/>
        <v>19.162323656776266</v>
      </c>
      <c r="AH17" s="54">
        <f t="shared" si="13"/>
        <v>0</v>
      </c>
      <c r="AI17" s="322">
        <v>127.78827788875</v>
      </c>
      <c r="AJ17" s="54">
        <f t="shared" si="3"/>
        <v>0.83475</v>
      </c>
      <c r="AK17" s="54">
        <f t="shared" si="25"/>
        <v>2.226</v>
      </c>
      <c r="AL17" s="49">
        <f t="shared" si="14"/>
        <v>12.035160384923818</v>
      </c>
      <c r="AM17" s="54">
        <f t="shared" si="15"/>
        <v>14.26116038492382</v>
      </c>
      <c r="AN17" s="54">
        <f t="shared" si="26"/>
        <v>0</v>
      </c>
      <c r="AO17" s="331">
        <v>3.270927980312499</v>
      </c>
      <c r="AP17" s="54">
        <f t="shared" si="16"/>
        <v>0</v>
      </c>
      <c r="AQ17" s="54">
        <f t="shared" si="27"/>
        <v>0</v>
      </c>
      <c r="AR17" s="49">
        <f t="shared" si="17"/>
        <v>0</v>
      </c>
      <c r="AS17" s="54">
        <f t="shared" si="18"/>
        <v>0</v>
      </c>
      <c r="AT17" s="54">
        <f t="shared" si="34"/>
        <v>0</v>
      </c>
    </row>
    <row r="18" spans="1:46" s="112" customFormat="1" ht="15.75">
      <c r="A18" s="55" t="s">
        <v>25</v>
      </c>
      <c r="B18" s="51">
        <f>L46/$D$3</f>
        <v>0.9264724227033773</v>
      </c>
      <c r="C18" s="108">
        <f>6.61/12</f>
        <v>0.5508333333333334</v>
      </c>
      <c r="D18" s="324">
        <f>1.73/12</f>
        <v>0.14416666666666667</v>
      </c>
      <c r="E18" s="307">
        <v>135.57134702002605</v>
      </c>
      <c r="F18" s="54">
        <f t="shared" si="4"/>
        <v>0</v>
      </c>
      <c r="G18" s="54">
        <f t="shared" si="19"/>
        <v>0</v>
      </c>
      <c r="H18" s="49">
        <f t="shared" si="28"/>
        <v>46.51818034393657</v>
      </c>
      <c r="I18" s="54">
        <f t="shared" si="5"/>
        <v>46.51818034393657</v>
      </c>
      <c r="J18" s="54">
        <f t="shared" si="29"/>
        <v>0</v>
      </c>
      <c r="K18" s="307">
        <v>0</v>
      </c>
      <c r="L18" s="54">
        <f t="shared" si="0"/>
        <v>0</v>
      </c>
      <c r="M18" s="54">
        <f t="shared" si="20"/>
        <v>0</v>
      </c>
      <c r="N18" s="49">
        <f t="shared" si="30"/>
        <v>0</v>
      </c>
      <c r="O18" s="54">
        <f t="shared" si="6"/>
        <v>0</v>
      </c>
      <c r="P18" s="54">
        <f t="shared" si="31"/>
        <v>0</v>
      </c>
      <c r="Q18" s="322">
        <v>38.24932036208068</v>
      </c>
      <c r="R18" s="54">
        <f t="shared" si="32"/>
        <v>0</v>
      </c>
      <c r="S18" s="54">
        <f t="shared" si="21"/>
        <v>0</v>
      </c>
      <c r="T18" s="49">
        <f t="shared" si="7"/>
        <v>73.0245563574802</v>
      </c>
      <c r="U18" s="54">
        <f t="shared" si="8"/>
        <v>73.0245563574802</v>
      </c>
      <c r="V18" s="54">
        <f t="shared" si="33"/>
        <v>34.77523599539951</v>
      </c>
      <c r="W18" s="322">
        <v>11.167897718753531</v>
      </c>
      <c r="X18" s="54">
        <f t="shared" si="1"/>
        <v>0.1992666666666667</v>
      </c>
      <c r="Y18" s="54">
        <f t="shared" si="22"/>
        <v>0.5313777777777778</v>
      </c>
      <c r="Z18" s="49">
        <f t="shared" si="9"/>
        <v>21.772101933529367</v>
      </c>
      <c r="AA18" s="54">
        <f t="shared" si="10"/>
        <v>22.303479711307144</v>
      </c>
      <c r="AB18" s="54">
        <f t="shared" si="23"/>
        <v>11.135581992553613</v>
      </c>
      <c r="AC18" s="322">
        <v>5.573075493645831</v>
      </c>
      <c r="AD18" s="54">
        <f t="shared" si="2"/>
        <v>0</v>
      </c>
      <c r="AE18" s="54">
        <f t="shared" si="24"/>
        <v>0</v>
      </c>
      <c r="AF18" s="49">
        <f t="shared" si="11"/>
        <v>15.120029938519117</v>
      </c>
      <c r="AG18" s="54">
        <f t="shared" si="12"/>
        <v>15.120029938519117</v>
      </c>
      <c r="AH18" s="54">
        <f t="shared" si="13"/>
        <v>9.546954444873286</v>
      </c>
      <c r="AI18" s="322">
        <v>212.42062656555922</v>
      </c>
      <c r="AJ18" s="54">
        <f t="shared" si="3"/>
        <v>0.5124000000000001</v>
      </c>
      <c r="AK18" s="54">
        <f t="shared" si="25"/>
        <v>1.3664000000000003</v>
      </c>
      <c r="AL18" s="49">
        <f t="shared" si="14"/>
        <v>9.496342332709617</v>
      </c>
      <c r="AM18" s="54">
        <f t="shared" si="15"/>
        <v>10.862742332709617</v>
      </c>
      <c r="AN18" s="54">
        <f t="shared" si="26"/>
        <v>0</v>
      </c>
      <c r="AO18" s="331">
        <v>14.4663764615625</v>
      </c>
      <c r="AP18" s="54">
        <f t="shared" si="16"/>
        <v>0</v>
      </c>
      <c r="AQ18" s="54">
        <f t="shared" si="27"/>
        <v>0</v>
      </c>
      <c r="AR18" s="49">
        <f t="shared" si="17"/>
        <v>0</v>
      </c>
      <c r="AS18" s="54">
        <f t="shared" si="18"/>
        <v>0</v>
      </c>
      <c r="AT18" s="54">
        <f t="shared" si="34"/>
        <v>0</v>
      </c>
    </row>
    <row r="19" spans="1:46" s="112" customFormat="1" ht="15.75">
      <c r="A19" s="55" t="s">
        <v>26</v>
      </c>
      <c r="B19" s="51">
        <f>M46/$D$3</f>
        <v>0.5880263744096944</v>
      </c>
      <c r="C19" s="108">
        <f>5.49/12</f>
        <v>0.4575</v>
      </c>
      <c r="D19" s="324">
        <f>2.71/12</f>
        <v>0.22583333333333333</v>
      </c>
      <c r="E19" s="307">
        <v>84.90769161161467</v>
      </c>
      <c r="F19" s="54">
        <f t="shared" si="4"/>
        <v>0</v>
      </c>
      <c r="G19" s="54">
        <f t="shared" si="19"/>
        <v>0</v>
      </c>
      <c r="H19" s="49">
        <f t="shared" si="28"/>
        <v>29.524804259110756</v>
      </c>
      <c r="I19" s="54">
        <f t="shared" si="5"/>
        <v>29.524804259110756</v>
      </c>
      <c r="J19" s="54">
        <f t="shared" si="29"/>
        <v>0</v>
      </c>
      <c r="K19" s="307">
        <v>0.07913218854166662</v>
      </c>
      <c r="L19" s="54">
        <f t="shared" si="0"/>
        <v>0</v>
      </c>
      <c r="M19" s="54">
        <f t="shared" si="20"/>
        <v>0</v>
      </c>
      <c r="N19" s="49">
        <f t="shared" si="30"/>
        <v>0</v>
      </c>
      <c r="O19" s="54">
        <f t="shared" si="6"/>
        <v>0</v>
      </c>
      <c r="P19" s="54">
        <f t="shared" si="31"/>
        <v>0</v>
      </c>
      <c r="Q19" s="322">
        <v>82.26674558049854</v>
      </c>
      <c r="R19" s="54">
        <f t="shared" si="32"/>
        <v>0</v>
      </c>
      <c r="S19" s="54">
        <f t="shared" si="21"/>
        <v>0</v>
      </c>
      <c r="T19" s="49">
        <f t="shared" si="7"/>
        <v>46.34823883097211</v>
      </c>
      <c r="U19" s="54">
        <f t="shared" si="8"/>
        <v>46.34823883097211</v>
      </c>
      <c r="V19" s="54">
        <f t="shared" si="33"/>
        <v>0</v>
      </c>
      <c r="W19" s="322">
        <v>33.079114313541666</v>
      </c>
      <c r="X19" s="54">
        <f t="shared" si="1"/>
        <v>0.11351666666666667</v>
      </c>
      <c r="Y19" s="54">
        <f t="shared" si="22"/>
        <v>0.3027111111111111</v>
      </c>
      <c r="Z19" s="49">
        <f t="shared" si="9"/>
        <v>13.818619798627818</v>
      </c>
      <c r="AA19" s="54">
        <f t="shared" si="10"/>
        <v>14.12133090973893</v>
      </c>
      <c r="AB19" s="54">
        <f t="shared" si="23"/>
        <v>0</v>
      </c>
      <c r="AC19" s="322">
        <v>113.48338368382007</v>
      </c>
      <c r="AD19" s="54">
        <f t="shared" si="2"/>
        <v>0</v>
      </c>
      <c r="AE19" s="54">
        <f t="shared" si="24"/>
        <v>0</v>
      </c>
      <c r="AF19" s="49">
        <f t="shared" si="11"/>
        <v>9.596590430366213</v>
      </c>
      <c r="AG19" s="54">
        <f t="shared" si="12"/>
        <v>9.596590430366213</v>
      </c>
      <c r="AH19" s="54">
        <f t="shared" si="13"/>
        <v>0</v>
      </c>
      <c r="AI19" s="322">
        <v>404.6001320811457</v>
      </c>
      <c r="AJ19" s="54">
        <f t="shared" si="3"/>
        <v>0.29190000000000005</v>
      </c>
      <c r="AK19" s="54">
        <f t="shared" si="25"/>
        <v>0.7784000000000001</v>
      </c>
      <c r="AL19" s="49">
        <f t="shared" si="14"/>
        <v>6.027270337699368</v>
      </c>
      <c r="AM19" s="54">
        <f t="shared" si="15"/>
        <v>6.805670337699368</v>
      </c>
      <c r="AN19" s="54">
        <f t="shared" si="26"/>
        <v>0</v>
      </c>
      <c r="AO19" s="331">
        <v>2.162168250312501</v>
      </c>
      <c r="AP19" s="54">
        <f t="shared" si="16"/>
        <v>0</v>
      </c>
      <c r="AQ19" s="54">
        <f t="shared" si="27"/>
        <v>0</v>
      </c>
      <c r="AR19" s="49">
        <f t="shared" si="17"/>
        <v>0</v>
      </c>
      <c r="AS19" s="54">
        <f t="shared" si="18"/>
        <v>0</v>
      </c>
      <c r="AT19" s="54">
        <f t="shared" si="34"/>
        <v>0</v>
      </c>
    </row>
    <row r="20" spans="1:46" s="112" customFormat="1" ht="15.75">
      <c r="A20" s="55" t="s">
        <v>27</v>
      </c>
      <c r="B20" s="51">
        <f>N46/$D$3</f>
        <v>0.38004276931301795</v>
      </c>
      <c r="C20" s="108">
        <f>4.87/12</f>
        <v>0.4058333333333333</v>
      </c>
      <c r="D20" s="324">
        <f>3.31/12</f>
        <v>0.2758333333333333</v>
      </c>
      <c r="E20" s="307">
        <v>40.41064959848958</v>
      </c>
      <c r="F20" s="54">
        <f t="shared" si="4"/>
        <v>0</v>
      </c>
      <c r="G20" s="54">
        <f t="shared" si="19"/>
        <v>0</v>
      </c>
      <c r="H20" s="49">
        <f t="shared" si="28"/>
        <v>19.08194744720663</v>
      </c>
      <c r="I20" s="54">
        <f t="shared" si="5"/>
        <v>19.08194744720663</v>
      </c>
      <c r="J20" s="54">
        <f t="shared" si="29"/>
        <v>0</v>
      </c>
      <c r="K20" s="307">
        <v>0</v>
      </c>
      <c r="L20" s="54">
        <f t="shared" si="0"/>
        <v>0</v>
      </c>
      <c r="M20" s="54">
        <f t="shared" si="20"/>
        <v>0</v>
      </c>
      <c r="N20" s="49">
        <f t="shared" si="30"/>
        <v>0</v>
      </c>
      <c r="O20" s="54">
        <f t="shared" si="6"/>
        <v>0</v>
      </c>
      <c r="P20" s="54">
        <f t="shared" si="31"/>
        <v>0</v>
      </c>
      <c r="Q20" s="322">
        <v>103.67824421478925</v>
      </c>
      <c r="R20" s="54">
        <f t="shared" si="32"/>
        <v>0</v>
      </c>
      <c r="S20" s="54">
        <f t="shared" si="21"/>
        <v>0</v>
      </c>
      <c r="T20" s="49">
        <f t="shared" si="7"/>
        <v>29.954971077252072</v>
      </c>
      <c r="U20" s="54">
        <f t="shared" si="8"/>
        <v>29.954971077252072</v>
      </c>
      <c r="V20" s="54">
        <f t="shared" si="33"/>
        <v>0</v>
      </c>
      <c r="W20" s="322">
        <v>0.11997927385416662</v>
      </c>
      <c r="X20" s="54">
        <f t="shared" si="1"/>
        <v>0.0637</v>
      </c>
      <c r="Y20" s="54">
        <f t="shared" si="22"/>
        <v>0.1698666666666667</v>
      </c>
      <c r="Z20" s="49">
        <f t="shared" si="9"/>
        <v>8.931005078855922</v>
      </c>
      <c r="AA20" s="54">
        <f t="shared" si="10"/>
        <v>9.10087174552259</v>
      </c>
      <c r="AB20" s="54">
        <f t="shared" si="23"/>
        <v>8.980892471668422</v>
      </c>
      <c r="AC20" s="322">
        <v>57.449594225805576</v>
      </c>
      <c r="AD20" s="54">
        <f t="shared" si="2"/>
        <v>0</v>
      </c>
      <c r="AE20" s="54">
        <f t="shared" si="24"/>
        <v>0</v>
      </c>
      <c r="AF20" s="49">
        <f t="shared" si="11"/>
        <v>6.202297995188453</v>
      </c>
      <c r="AG20" s="54">
        <f t="shared" si="12"/>
        <v>6.202297995188453</v>
      </c>
      <c r="AH20" s="54">
        <f t="shared" si="13"/>
        <v>0</v>
      </c>
      <c r="AI20" s="322">
        <v>365.4214342946877</v>
      </c>
      <c r="AJ20" s="54">
        <f t="shared" si="3"/>
        <v>0.1638</v>
      </c>
      <c r="AK20" s="54">
        <f t="shared" si="25"/>
        <v>0.4368</v>
      </c>
      <c r="AL20" s="49">
        <f t="shared" si="14"/>
        <v>3.895438385458434</v>
      </c>
      <c r="AM20" s="54">
        <f t="shared" si="15"/>
        <v>4.332238385458434</v>
      </c>
      <c r="AN20" s="54">
        <f t="shared" si="26"/>
        <v>0</v>
      </c>
      <c r="AO20" s="331">
        <v>0.7403508386458335</v>
      </c>
      <c r="AP20" s="54">
        <f t="shared" si="16"/>
        <v>0</v>
      </c>
      <c r="AQ20" s="54">
        <f t="shared" si="27"/>
        <v>0</v>
      </c>
      <c r="AR20" s="49">
        <f t="shared" si="17"/>
        <v>0</v>
      </c>
      <c r="AS20" s="54">
        <f t="shared" si="18"/>
        <v>0</v>
      </c>
      <c r="AT20" s="54">
        <f t="shared" si="34"/>
        <v>0</v>
      </c>
    </row>
    <row r="21" spans="1:46" s="112" customFormat="1" ht="15.75">
      <c r="A21" s="55" t="s">
        <v>28</v>
      </c>
      <c r="B21" s="51">
        <f>O46/$D$3</f>
        <v>0.3233199679230153</v>
      </c>
      <c r="C21" s="108">
        <f>4.09/12</f>
        <v>0.3408333333333333</v>
      </c>
      <c r="D21" s="324">
        <f>0.82/12</f>
        <v>0.06833333333333333</v>
      </c>
      <c r="E21" s="307">
        <v>4.524377714583329</v>
      </c>
      <c r="F21" s="54">
        <f t="shared" si="4"/>
        <v>0</v>
      </c>
      <c r="G21" s="54">
        <f t="shared" si="19"/>
        <v>0</v>
      </c>
      <c r="H21" s="49">
        <f t="shared" si="28"/>
        <v>16.2338955894146</v>
      </c>
      <c r="I21" s="54">
        <f t="shared" si="5"/>
        <v>16.2338955894146</v>
      </c>
      <c r="J21" s="54">
        <f t="shared" si="29"/>
        <v>11.709517874831272</v>
      </c>
      <c r="K21" s="307">
        <v>0.009090904166666665</v>
      </c>
      <c r="L21" s="54">
        <f t="shared" si="0"/>
        <v>0</v>
      </c>
      <c r="M21" s="54">
        <f t="shared" si="20"/>
        <v>0</v>
      </c>
      <c r="N21" s="49">
        <f t="shared" si="30"/>
        <v>0</v>
      </c>
      <c r="O21" s="54">
        <f t="shared" si="6"/>
        <v>0</v>
      </c>
      <c r="P21" s="54">
        <f t="shared" si="31"/>
        <v>0</v>
      </c>
      <c r="Q21" s="322">
        <v>2.425806438874008</v>
      </c>
      <c r="R21" s="54">
        <f t="shared" si="32"/>
        <v>0</v>
      </c>
      <c r="S21" s="54">
        <f t="shared" si="21"/>
        <v>0</v>
      </c>
      <c r="T21" s="49">
        <f t="shared" si="7"/>
        <v>25.484079871692064</v>
      </c>
      <c r="U21" s="54">
        <f t="shared" si="8"/>
        <v>25.484079871692064</v>
      </c>
      <c r="V21" s="54">
        <f t="shared" si="33"/>
        <v>23.058273432818055</v>
      </c>
      <c r="W21" s="322">
        <v>2.9530975739583343</v>
      </c>
      <c r="X21" s="54">
        <f t="shared" si="1"/>
        <v>0.13352499999999998</v>
      </c>
      <c r="Y21" s="54">
        <f t="shared" si="22"/>
        <v>0.3560666666666666</v>
      </c>
      <c r="Z21" s="49">
        <f t="shared" si="9"/>
        <v>7.5980192461908596</v>
      </c>
      <c r="AA21" s="54">
        <f t="shared" si="10"/>
        <v>7.9540859128575265</v>
      </c>
      <c r="AB21" s="54">
        <f t="shared" si="23"/>
        <v>5.000988338899193</v>
      </c>
      <c r="AC21" s="322">
        <v>0.25750123793055557</v>
      </c>
      <c r="AD21" s="54">
        <f t="shared" si="2"/>
        <v>0</v>
      </c>
      <c r="AE21" s="54">
        <f t="shared" si="24"/>
        <v>0</v>
      </c>
      <c r="AF21" s="49">
        <f t="shared" si="11"/>
        <v>5.27658187650361</v>
      </c>
      <c r="AG21" s="54">
        <f t="shared" si="12"/>
        <v>5.27658187650361</v>
      </c>
      <c r="AH21" s="54">
        <f t="shared" si="13"/>
        <v>5.019080638573055</v>
      </c>
      <c r="AI21" s="322">
        <v>305.2498821768855</v>
      </c>
      <c r="AJ21" s="54">
        <f t="shared" si="3"/>
        <v>0.34334999999999993</v>
      </c>
      <c r="AK21" s="54">
        <f t="shared" si="25"/>
        <v>0.9155999999999999</v>
      </c>
      <c r="AL21" s="49">
        <f t="shared" si="14"/>
        <v>3.314029671210907</v>
      </c>
      <c r="AM21" s="54">
        <f t="shared" si="15"/>
        <v>4.2296296712109065</v>
      </c>
      <c r="AN21" s="54">
        <f t="shared" si="26"/>
        <v>0</v>
      </c>
      <c r="AO21" s="331">
        <v>0.6470451040625</v>
      </c>
      <c r="AP21" s="54">
        <f t="shared" si="16"/>
        <v>0</v>
      </c>
      <c r="AQ21" s="54">
        <f t="shared" si="27"/>
        <v>0</v>
      </c>
      <c r="AR21" s="49">
        <f t="shared" si="17"/>
        <v>0</v>
      </c>
      <c r="AS21" s="54">
        <f t="shared" si="18"/>
        <v>0</v>
      </c>
      <c r="AT21" s="54">
        <f t="shared" si="34"/>
        <v>0</v>
      </c>
    </row>
    <row r="22" spans="1:46" s="112" customFormat="1" ht="15.75">
      <c r="A22" s="55" t="s">
        <v>29</v>
      </c>
      <c r="B22" s="51">
        <f>P46/$D$3</f>
        <v>0.011344560278000536</v>
      </c>
      <c r="C22" s="108">
        <f>2.13/12</f>
        <v>0.1775</v>
      </c>
      <c r="D22" s="324">
        <f>0.93/12</f>
        <v>0.0775</v>
      </c>
      <c r="E22" s="307">
        <v>14.953297685416663</v>
      </c>
      <c r="F22" s="54">
        <f t="shared" si="4"/>
        <v>0</v>
      </c>
      <c r="G22" s="54">
        <f t="shared" si="19"/>
        <v>0</v>
      </c>
      <c r="H22" s="49">
        <f t="shared" si="28"/>
        <v>0.5696103715584069</v>
      </c>
      <c r="I22" s="54">
        <f t="shared" si="5"/>
        <v>0.5696103715584069</v>
      </c>
      <c r="J22" s="54">
        <f t="shared" si="29"/>
        <v>0</v>
      </c>
      <c r="K22" s="307">
        <v>0</v>
      </c>
      <c r="L22" s="54">
        <f t="shared" si="0"/>
        <v>0</v>
      </c>
      <c r="M22" s="54">
        <f t="shared" si="20"/>
        <v>0</v>
      </c>
      <c r="N22" s="49">
        <f t="shared" si="30"/>
        <v>0</v>
      </c>
      <c r="O22" s="54">
        <f t="shared" si="6"/>
        <v>0</v>
      </c>
      <c r="P22" s="54">
        <f t="shared" si="31"/>
        <v>0</v>
      </c>
      <c r="Q22" s="322">
        <v>1.3073103898660723</v>
      </c>
      <c r="R22" s="54">
        <f t="shared" si="32"/>
        <v>0</v>
      </c>
      <c r="S22" s="54">
        <f t="shared" si="21"/>
        <v>0</v>
      </c>
      <c r="T22" s="49">
        <f t="shared" si="7"/>
        <v>0.8941782411120022</v>
      </c>
      <c r="U22" s="54">
        <f t="shared" si="8"/>
        <v>0.8941782411120022</v>
      </c>
      <c r="V22" s="54">
        <f t="shared" si="33"/>
        <v>0</v>
      </c>
      <c r="W22" s="322">
        <v>2.2744822390625</v>
      </c>
      <c r="X22" s="54">
        <f t="shared" si="1"/>
        <v>0.048999999999999995</v>
      </c>
      <c r="Y22" s="54">
        <f t="shared" si="22"/>
        <v>0.13066666666666665</v>
      </c>
      <c r="Z22" s="49">
        <f t="shared" si="9"/>
        <v>0.2665971665330126</v>
      </c>
      <c r="AA22" s="54">
        <f t="shared" si="10"/>
        <v>0.39726383319967923</v>
      </c>
      <c r="AB22" s="54">
        <f t="shared" si="23"/>
        <v>0</v>
      </c>
      <c r="AC22" s="307">
        <v>0.10900820541666668</v>
      </c>
      <c r="AD22" s="54">
        <f t="shared" si="2"/>
        <v>0</v>
      </c>
      <c r="AE22" s="54">
        <f t="shared" si="24"/>
        <v>0</v>
      </c>
      <c r="AF22" s="49">
        <f t="shared" si="11"/>
        <v>0.18514322373696876</v>
      </c>
      <c r="AG22" s="54">
        <f t="shared" si="12"/>
        <v>0.18514322373696876</v>
      </c>
      <c r="AH22" s="54">
        <f t="shared" si="13"/>
        <v>0.07613501832030208</v>
      </c>
      <c r="AI22" s="322">
        <v>296.7675458623958</v>
      </c>
      <c r="AJ22" s="54">
        <f t="shared" si="3"/>
        <v>0.126</v>
      </c>
      <c r="AK22" s="54">
        <f t="shared" si="25"/>
        <v>0.336</v>
      </c>
      <c r="AL22" s="49">
        <f t="shared" si="14"/>
        <v>0.11628174284950549</v>
      </c>
      <c r="AM22" s="54">
        <f t="shared" si="15"/>
        <v>0.4522817428495055</v>
      </c>
      <c r="AN22" s="54">
        <f t="shared" si="26"/>
        <v>0</v>
      </c>
      <c r="AO22" s="322">
        <v>1.7800403581250006</v>
      </c>
      <c r="AP22" s="54">
        <f t="shared" si="16"/>
        <v>0</v>
      </c>
      <c r="AQ22" s="54">
        <f t="shared" si="27"/>
        <v>0</v>
      </c>
      <c r="AR22" s="49">
        <f t="shared" si="17"/>
        <v>0</v>
      </c>
      <c r="AS22" s="54">
        <f t="shared" si="18"/>
        <v>0</v>
      </c>
      <c r="AT22" s="54">
        <f t="shared" si="34"/>
        <v>0</v>
      </c>
    </row>
    <row r="23" spans="1:46" s="112" customFormat="1" ht="15.75">
      <c r="A23" s="55" t="s">
        <v>211</v>
      </c>
      <c r="B23" s="54">
        <f>Q46/$D$3</f>
        <v>0</v>
      </c>
      <c r="C23" s="179">
        <f>1.74/12</f>
        <v>0.145</v>
      </c>
      <c r="D23" s="339">
        <f>0.93/12</f>
        <v>0.0775</v>
      </c>
      <c r="E23" s="334">
        <v>0.605395880147059</v>
      </c>
      <c r="F23" s="54">
        <f t="shared" si="4"/>
        <v>0</v>
      </c>
      <c r="G23" s="54">
        <f>F23/$D$3</f>
        <v>0</v>
      </c>
      <c r="H23" s="49">
        <f>F$9*$B23</f>
        <v>0</v>
      </c>
      <c r="I23" s="54">
        <f>G23+H23</f>
        <v>0</v>
      </c>
      <c r="J23" s="54">
        <f>IF(E23-I23&gt;0,0,ABS(E23-I23))</f>
        <v>0</v>
      </c>
      <c r="K23" s="329">
        <v>0</v>
      </c>
      <c r="L23" s="54">
        <f t="shared" si="0"/>
        <v>0</v>
      </c>
      <c r="M23" s="54">
        <f>L23/$D$3</f>
        <v>0</v>
      </c>
      <c r="N23" s="49">
        <f>L$9*$B23</f>
        <v>0</v>
      </c>
      <c r="O23" s="54">
        <f>M23+N23</f>
        <v>0</v>
      </c>
      <c r="P23" s="54">
        <f>IF(K23-O23&gt;0,0,ABS(K23-O23))</f>
        <v>0</v>
      </c>
      <c r="Q23" s="329">
        <v>0</v>
      </c>
      <c r="R23" s="54">
        <f>R$7*(IF($C23-$D23&lt;0,0,ABS($C23-$D23)))</f>
        <v>0</v>
      </c>
      <c r="S23" s="54">
        <f>R23/$D$3</f>
        <v>0</v>
      </c>
      <c r="T23" s="49">
        <f>R$9*$B23</f>
        <v>0</v>
      </c>
      <c r="U23" s="54">
        <f>S23+T23</f>
        <v>0</v>
      </c>
      <c r="V23" s="54">
        <f>IF(Q23-U23&gt;0,0,ABS(Q23-U23))</f>
        <v>0</v>
      </c>
      <c r="W23" s="329">
        <v>0</v>
      </c>
      <c r="X23" s="54">
        <f t="shared" si="1"/>
        <v>0.03307499999999999</v>
      </c>
      <c r="Y23" s="54">
        <f>X23/$D$3</f>
        <v>0.08819999999999999</v>
      </c>
      <c r="Z23" s="49">
        <f>X$9*$B23</f>
        <v>0</v>
      </c>
      <c r="AA23" s="54">
        <f>Y23+Z23</f>
        <v>0.08819999999999999</v>
      </c>
      <c r="AB23" s="338">
        <v>0</v>
      </c>
      <c r="AC23" s="329">
        <v>0</v>
      </c>
      <c r="AD23" s="54">
        <f t="shared" si="2"/>
        <v>0</v>
      </c>
      <c r="AE23" s="54">
        <f>AD23/$D$3</f>
        <v>0</v>
      </c>
      <c r="AF23" s="49">
        <f>AD$9*$B23</f>
        <v>0</v>
      </c>
      <c r="AG23" s="54">
        <f>AE23+AF23</f>
        <v>0</v>
      </c>
      <c r="AH23" s="54">
        <f t="shared" si="13"/>
        <v>0</v>
      </c>
      <c r="AI23" s="329">
        <v>24.175489980084787</v>
      </c>
      <c r="AJ23" s="54">
        <f t="shared" si="3"/>
        <v>0.08504999999999999</v>
      </c>
      <c r="AK23" s="54">
        <f>AJ23/$D$3</f>
        <v>0.22679999999999997</v>
      </c>
      <c r="AL23" s="49">
        <f>AJ$9*$B23</f>
        <v>0</v>
      </c>
      <c r="AM23" s="54">
        <f>AK23+AL23</f>
        <v>0.22679999999999997</v>
      </c>
      <c r="AN23" s="338">
        <v>0</v>
      </c>
      <c r="AO23" s="329">
        <v>0.5355369000000001</v>
      </c>
      <c r="AP23" s="54">
        <f t="shared" si="16"/>
        <v>0</v>
      </c>
      <c r="AQ23" s="54">
        <f>AP23/$D$3</f>
        <v>0</v>
      </c>
      <c r="AR23" s="49">
        <f>AP$9*$B23</f>
        <v>0</v>
      </c>
      <c r="AS23" s="54">
        <f>AQ23+AR23</f>
        <v>0</v>
      </c>
      <c r="AT23" s="54">
        <f t="shared" si="34"/>
        <v>0</v>
      </c>
    </row>
    <row r="24" spans="1:46" s="120" customFormat="1" ht="15.75">
      <c r="A24" s="53" t="s">
        <v>34</v>
      </c>
      <c r="B24" s="53">
        <f>SUM(B12:B23)</f>
        <v>4.7155555555555555</v>
      </c>
      <c r="C24" s="53">
        <f aca="true" t="shared" si="35" ref="C24:AT24">SUM(C12:C23)</f>
        <v>4.658333333333333</v>
      </c>
      <c r="D24" s="53">
        <f t="shared" si="35"/>
        <v>0.9933333333333334</v>
      </c>
      <c r="E24" s="53">
        <f t="shared" si="35"/>
        <v>768.9912916543664</v>
      </c>
      <c r="F24" s="53">
        <f t="shared" si="35"/>
        <v>0</v>
      </c>
      <c r="G24" s="53">
        <f t="shared" si="35"/>
        <v>0</v>
      </c>
      <c r="H24" s="53">
        <f t="shared" si="35"/>
        <v>236.7680444444445</v>
      </c>
      <c r="I24" s="53">
        <f t="shared" si="35"/>
        <v>236.7680444444445</v>
      </c>
      <c r="J24" s="53">
        <f t="shared" si="35"/>
        <v>14.376979705328912</v>
      </c>
      <c r="K24" s="53">
        <f t="shared" si="35"/>
        <v>301.16564353660084</v>
      </c>
      <c r="L24" s="53">
        <f t="shared" si="35"/>
        <v>0</v>
      </c>
      <c r="M24" s="53">
        <f t="shared" si="35"/>
        <v>0</v>
      </c>
      <c r="N24" s="53">
        <f t="shared" si="35"/>
        <v>0</v>
      </c>
      <c r="O24" s="53">
        <f t="shared" si="35"/>
        <v>0</v>
      </c>
      <c r="P24" s="53">
        <f t="shared" si="35"/>
        <v>0</v>
      </c>
      <c r="Q24" s="53">
        <f t="shared" si="35"/>
        <v>362.4597291635986</v>
      </c>
      <c r="R24" s="53">
        <f t="shared" si="35"/>
        <v>0</v>
      </c>
      <c r="S24" s="53">
        <f t="shared" si="35"/>
        <v>0</v>
      </c>
      <c r="T24" s="53">
        <f t="shared" si="35"/>
        <v>371.6800888888889</v>
      </c>
      <c r="U24" s="53">
        <f t="shared" si="35"/>
        <v>371.6800888888889</v>
      </c>
      <c r="V24" s="53">
        <f t="shared" si="35"/>
        <v>141.4456542848525</v>
      </c>
      <c r="W24" s="53">
        <f t="shared" si="35"/>
        <v>339.72851555909483</v>
      </c>
      <c r="X24" s="53">
        <f t="shared" si="35"/>
        <v>1.79585</v>
      </c>
      <c r="Y24" s="53">
        <f t="shared" si="35"/>
        <v>4.788933333333333</v>
      </c>
      <c r="Z24" s="53">
        <f t="shared" si="35"/>
        <v>110.81555555555558</v>
      </c>
      <c r="AA24" s="53">
        <f t="shared" si="35"/>
        <v>115.60448888888891</v>
      </c>
      <c r="AB24" s="53">
        <f t="shared" si="35"/>
        <v>27.07135785791941</v>
      </c>
      <c r="AC24" s="53">
        <f t="shared" si="35"/>
        <v>479.34348329907635</v>
      </c>
      <c r="AD24" s="53">
        <f t="shared" si="35"/>
        <v>0</v>
      </c>
      <c r="AE24" s="53">
        <f t="shared" si="35"/>
        <v>0</v>
      </c>
      <c r="AF24" s="53">
        <f t="shared" si="35"/>
        <v>76.9578666666667</v>
      </c>
      <c r="AG24" s="53">
        <f t="shared" si="35"/>
        <v>76.9578666666667</v>
      </c>
      <c r="AH24" s="53">
        <f t="shared" si="35"/>
        <v>15.691315036276134</v>
      </c>
      <c r="AI24" s="53">
        <f t="shared" si="35"/>
        <v>2663.1382171289365</v>
      </c>
      <c r="AJ24" s="53">
        <f t="shared" si="35"/>
        <v>4.617900000000001</v>
      </c>
      <c r="AK24" s="53">
        <f t="shared" si="35"/>
        <v>12.314400000000001</v>
      </c>
      <c r="AL24" s="53">
        <f t="shared" si="35"/>
        <v>48.33444444444446</v>
      </c>
      <c r="AM24" s="53">
        <f t="shared" si="35"/>
        <v>60.64884444444445</v>
      </c>
      <c r="AN24" s="53">
        <f t="shared" si="35"/>
        <v>0</v>
      </c>
      <c r="AO24" s="53">
        <f t="shared" si="35"/>
        <v>31.039735252916664</v>
      </c>
      <c r="AP24" s="53">
        <f t="shared" si="35"/>
        <v>0</v>
      </c>
      <c r="AQ24" s="53">
        <f t="shared" si="35"/>
        <v>0</v>
      </c>
      <c r="AR24" s="53">
        <f t="shared" si="35"/>
        <v>0</v>
      </c>
      <c r="AS24" s="53">
        <f t="shared" si="35"/>
        <v>0</v>
      </c>
      <c r="AT24" s="53">
        <f t="shared" si="35"/>
        <v>0</v>
      </c>
    </row>
    <row r="25" spans="1:29" s="112" customFormat="1" ht="15.75">
      <c r="A25" s="247" t="s">
        <v>353</v>
      </c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T25" s="325" t="s">
        <v>345</v>
      </c>
      <c r="U25" s="288"/>
      <c r="V25" s="288"/>
      <c r="W25" s="49"/>
      <c r="AB25" s="49"/>
      <c r="AC25" s="49"/>
    </row>
    <row r="26" s="49" customFormat="1" ht="15.75">
      <c r="A26" s="49" t="s">
        <v>352</v>
      </c>
    </row>
    <row r="27" spans="1:52" s="148" customFormat="1" ht="18">
      <c r="A27" s="141" t="s">
        <v>35</v>
      </c>
      <c r="B27" s="142"/>
      <c r="C27" s="146"/>
      <c r="D27" s="147"/>
      <c r="E27" s="147"/>
      <c r="F27" s="382" t="s">
        <v>120</v>
      </c>
      <c r="G27" s="383"/>
      <c r="H27" s="383"/>
      <c r="I27" s="383"/>
      <c r="J27" s="383"/>
      <c r="K27" s="383"/>
      <c r="L27" s="384" t="s">
        <v>121</v>
      </c>
      <c r="M27" s="383"/>
      <c r="N27" s="383"/>
      <c r="O27" s="383"/>
      <c r="P27" s="383"/>
      <c r="Q27" s="383"/>
      <c r="R27" s="196"/>
      <c r="S27" s="385" t="s">
        <v>73</v>
      </c>
      <c r="T27" s="386"/>
      <c r="U27" s="386"/>
      <c r="V27" s="386"/>
      <c r="W27" s="386"/>
      <c r="X27" s="386"/>
      <c r="Y27" s="232"/>
      <c r="Z27" s="234"/>
      <c r="AA27" s="235"/>
      <c r="AB27" s="235"/>
      <c r="AC27" s="235"/>
      <c r="AD27" s="235"/>
      <c r="AE27" s="235"/>
      <c r="AF27" s="235"/>
      <c r="AG27" s="232"/>
      <c r="AH27" s="235"/>
      <c r="AI27" s="235"/>
      <c r="AJ27" s="235"/>
      <c r="AK27" s="236"/>
      <c r="AL27" s="236"/>
      <c r="AM27" s="236"/>
      <c r="AN27" s="236"/>
      <c r="AO27" s="236"/>
      <c r="AP27" s="236"/>
      <c r="AQ27" s="236"/>
      <c r="AR27" s="236"/>
      <c r="AS27" s="236"/>
      <c r="AT27" s="236"/>
      <c r="AU27" s="237"/>
      <c r="AV27" s="237"/>
      <c r="AW27" s="237"/>
      <c r="AX27" s="237"/>
      <c r="AY27" s="237"/>
      <c r="AZ27" s="237"/>
    </row>
    <row r="28" spans="1:33" s="140" customFormat="1" ht="72.75" customHeight="1">
      <c r="A28" s="129"/>
      <c r="B28" s="129"/>
      <c r="C28" s="149" t="s">
        <v>8</v>
      </c>
      <c r="D28" s="149" t="s">
        <v>9</v>
      </c>
      <c r="E28" s="150"/>
      <c r="F28" s="116" t="s">
        <v>207</v>
      </c>
      <c r="G28" s="126" t="s">
        <v>0</v>
      </c>
      <c r="H28" s="116" t="s">
        <v>2</v>
      </c>
      <c r="I28" s="116" t="s">
        <v>3</v>
      </c>
      <c r="J28" s="116" t="s">
        <v>298</v>
      </c>
      <c r="K28" s="116" t="s">
        <v>299</v>
      </c>
      <c r="L28" s="129"/>
      <c r="M28" s="116" t="s">
        <v>209</v>
      </c>
      <c r="N28" s="126" t="s">
        <v>0</v>
      </c>
      <c r="O28" s="116" t="s">
        <v>299</v>
      </c>
      <c r="P28" s="116" t="s">
        <v>208</v>
      </c>
      <c r="Q28" s="126" t="s">
        <v>0</v>
      </c>
      <c r="S28" s="126" t="s">
        <v>122</v>
      </c>
      <c r="T28" s="116" t="s">
        <v>1</v>
      </c>
      <c r="U28" s="116" t="s">
        <v>4</v>
      </c>
      <c r="V28" s="126" t="s">
        <v>300</v>
      </c>
      <c r="W28" s="126" t="s">
        <v>123</v>
      </c>
      <c r="X28" s="126" t="s">
        <v>301</v>
      </c>
      <c r="Y28" s="116"/>
      <c r="Z28" s="126"/>
      <c r="AA28" s="116"/>
      <c r="AB28" s="116"/>
      <c r="AC28" s="126"/>
      <c r="AD28" s="126"/>
      <c r="AE28" s="126"/>
      <c r="AG28" s="83"/>
    </row>
    <row r="29" spans="1:39" ht="15.75">
      <c r="A29" s="110" t="s">
        <v>242</v>
      </c>
      <c r="B29" s="49"/>
      <c r="C29" s="51">
        <f>B24*D3</f>
        <v>1.7683333333333333</v>
      </c>
      <c r="E29" s="54"/>
      <c r="F29" s="54">
        <f>($F9+$L9+$R9+$X9+$AD9+$AJ9+$AP9)-F30</f>
        <v>179.1</v>
      </c>
      <c r="G29" s="54">
        <f>F29*$C29</f>
        <v>316.70849999999996</v>
      </c>
      <c r="H29" s="112">
        <f>H24+N24+T24+Z24+AF24+AL24</f>
        <v>844.5560000000002</v>
      </c>
      <c r="I29" s="112"/>
      <c r="J29" s="49"/>
      <c r="K29" s="49">
        <f>G29*J32</f>
        <v>72.99132294207999</v>
      </c>
      <c r="L29" s="112"/>
      <c r="M29" s="338">
        <v>122.44</v>
      </c>
      <c r="N29" s="54">
        <f>M29*$C29</f>
        <v>216.51473333333334</v>
      </c>
      <c r="O29" s="49">
        <f>J32*N29</f>
        <v>49.899818989549274</v>
      </c>
      <c r="P29" s="341">
        <v>0</v>
      </c>
      <c r="Q29" s="54">
        <f>P29*$C29</f>
        <v>0</v>
      </c>
      <c r="S29" s="112">
        <f>F29+M29+P29</f>
        <v>301.53999999999996</v>
      </c>
      <c r="T29" s="49">
        <f>G29+N29+Q29</f>
        <v>533.2232333333333</v>
      </c>
      <c r="U29" s="49">
        <f>O29+K29</f>
        <v>122.89114193162926</v>
      </c>
      <c r="V29" s="49">
        <f>T29-U29</f>
        <v>410.332091401704</v>
      </c>
      <c r="W29" s="49"/>
      <c r="X29" s="49"/>
      <c r="Y29" s="112"/>
      <c r="Z29" s="112"/>
      <c r="AA29" s="46"/>
      <c r="AB29" s="49"/>
      <c r="AC29" s="49"/>
      <c r="AD29" s="49"/>
      <c r="AE29" s="49"/>
      <c r="AG29" s="49"/>
      <c r="AH29" s="114"/>
      <c r="AI29" s="114"/>
      <c r="AM29" s="49"/>
    </row>
    <row r="30" spans="1:39" ht="15.75">
      <c r="A30" s="110" t="s">
        <v>243</v>
      </c>
      <c r="B30" s="49"/>
      <c r="C30" s="112"/>
      <c r="D30" s="54"/>
      <c r="E30" s="54"/>
      <c r="F30" s="54"/>
      <c r="G30" s="54"/>
      <c r="H30" s="112"/>
      <c r="I30" s="112"/>
      <c r="J30" s="49"/>
      <c r="K30" s="49"/>
      <c r="L30" s="112"/>
      <c r="M30" s="54">
        <v>0</v>
      </c>
      <c r="N30" s="54"/>
      <c r="O30" s="49"/>
      <c r="P30" s="112">
        <v>0</v>
      </c>
      <c r="Q30" s="54"/>
      <c r="S30" s="112"/>
      <c r="T30" s="49"/>
      <c r="U30" s="49"/>
      <c r="V30" s="49"/>
      <c r="W30" s="49"/>
      <c r="X30" s="49"/>
      <c r="Y30" s="112"/>
      <c r="Z30" s="112"/>
      <c r="AA30" s="46"/>
      <c r="AB30" s="49"/>
      <c r="AC30" s="49"/>
      <c r="AD30" s="49"/>
      <c r="AE30" s="49"/>
      <c r="AG30" s="49"/>
      <c r="AH30" s="114"/>
      <c r="AI30" s="114"/>
      <c r="AK30" s="64"/>
      <c r="AM30" s="49"/>
    </row>
    <row r="31" spans="1:39" s="45" customFormat="1" ht="15.75">
      <c r="A31" s="45" t="s">
        <v>50</v>
      </c>
      <c r="E31" s="51"/>
      <c r="F31" s="54">
        <f>F7+L7+R7+X7+AD7+AJ7+AP7</f>
        <v>1.75</v>
      </c>
      <c r="G31" s="54">
        <f>F31*($C24-$D24)</f>
        <v>6.41375</v>
      </c>
      <c r="H31" s="112">
        <f>G24+M24+S24+Y24+AE24+AK24+AQ24</f>
        <v>17.10333333333333</v>
      </c>
      <c r="J31" s="49"/>
      <c r="K31" s="49">
        <f>G31*J32</f>
        <v>1.4781671395613494</v>
      </c>
      <c r="M31" s="338">
        <v>10.31</v>
      </c>
      <c r="N31" s="54">
        <f>M31*($C24-$D24)</f>
        <v>37.78615</v>
      </c>
      <c r="O31" s="54">
        <f>J32*N31</f>
        <v>8.708516119358578</v>
      </c>
      <c r="P31" s="322">
        <v>0</v>
      </c>
      <c r="Q31" s="54">
        <f>P31*($C24-$D24)</f>
        <v>0</v>
      </c>
      <c r="R31" s="54"/>
      <c r="S31" s="112">
        <f>F31+M31+P31</f>
        <v>12.06</v>
      </c>
      <c r="T31" s="49">
        <f>G31+N31+Q31</f>
        <v>44.1999</v>
      </c>
      <c r="U31" s="49">
        <f>O31+K31</f>
        <v>10.186683258919928</v>
      </c>
      <c r="V31" s="49">
        <f>T31-U31</f>
        <v>34.01321674108007</v>
      </c>
      <c r="W31" s="42"/>
      <c r="Y31" s="49"/>
      <c r="Z31" s="112"/>
      <c r="AA31" s="46"/>
      <c r="AB31" s="49"/>
      <c r="AC31" s="49"/>
      <c r="AD31" s="42"/>
      <c r="AH31" s="110"/>
      <c r="AI31" s="110"/>
      <c r="AJ31" s="110"/>
      <c r="AK31" s="110"/>
      <c r="AL31" s="110"/>
      <c r="AM31" s="49"/>
    </row>
    <row r="32" spans="1:39" ht="15.75">
      <c r="A32" s="64" t="s">
        <v>73</v>
      </c>
      <c r="B32" s="49"/>
      <c r="D32" s="54"/>
      <c r="E32" s="54"/>
      <c r="F32" s="54">
        <f>SUM(F29:F31)</f>
        <v>180.85</v>
      </c>
      <c r="G32" s="54">
        <f>SUM(G29:G31)</f>
        <v>323.12224999999995</v>
      </c>
      <c r="H32" s="54">
        <f>SUM(H29:H31)</f>
        <v>861.6593333333335</v>
      </c>
      <c r="I32" s="112">
        <f>J24+P24+V24+AB24+AH24+AN24+AT24</f>
        <v>198.58530688437696</v>
      </c>
      <c r="J32" s="53">
        <f>I32/H32</f>
        <v>0.23046846845626182</v>
      </c>
      <c r="K32" s="54">
        <f>J32*G32</f>
        <v>74.46949008164134</v>
      </c>
      <c r="L32" s="112"/>
      <c r="M32" s="54">
        <f>SUM(M29:M31)</f>
        <v>132.75</v>
      </c>
      <c r="N32" s="54">
        <f>SUM(N29:N31)</f>
        <v>254.30088333333333</v>
      </c>
      <c r="O32" s="54">
        <f>SUM(O29:O31)</f>
        <v>58.60833510890785</v>
      </c>
      <c r="P32" s="54">
        <f>SUM(P29:P31)</f>
        <v>0</v>
      </c>
      <c r="Q32" s="54">
        <f>SUM(Q29:Q31)</f>
        <v>0</v>
      </c>
      <c r="S32" s="112">
        <f>SUM(S29:S31)</f>
        <v>313.59999999999997</v>
      </c>
      <c r="T32" s="49">
        <f>SUM(T29:T31)</f>
        <v>577.4231333333332</v>
      </c>
      <c r="U32" s="49">
        <f>SUM(U29:U31)</f>
        <v>133.0778251905492</v>
      </c>
      <c r="V32" s="49">
        <f>SUM(V29:V31)</f>
        <v>444.3453081427841</v>
      </c>
      <c r="W32" s="54">
        <f>(V32-Q32)*0.1+(Q32*0.02)</f>
        <v>44.43453081427842</v>
      </c>
      <c r="X32" s="49">
        <f>W32+V32</f>
        <v>488.77983895706257</v>
      </c>
      <c r="Y32" s="112"/>
      <c r="Z32" s="64"/>
      <c r="AA32" s="46"/>
      <c r="AB32" s="46"/>
      <c r="AC32" s="46"/>
      <c r="AD32" s="50"/>
      <c r="AE32" s="46"/>
      <c r="AG32" s="49"/>
      <c r="AM32" s="49"/>
    </row>
    <row r="33" spans="1:37" ht="15.75">
      <c r="A33" s="49"/>
      <c r="B33" s="49"/>
      <c r="C33" s="112"/>
      <c r="D33" s="54"/>
      <c r="E33" s="54"/>
      <c r="F33" s="54"/>
      <c r="G33" s="54"/>
      <c r="H33" s="112"/>
      <c r="I33" s="112"/>
      <c r="J33" s="54"/>
      <c r="K33" s="54"/>
      <c r="L33" s="112"/>
      <c r="M33" s="54"/>
      <c r="N33" s="54"/>
      <c r="O33" s="49"/>
      <c r="P33" s="54"/>
      <c r="Q33" s="54"/>
      <c r="R33" s="54"/>
      <c r="S33" s="112"/>
      <c r="T33" s="112"/>
      <c r="U33" s="49"/>
      <c r="V33" s="49"/>
      <c r="W33" s="49"/>
      <c r="X33" s="46"/>
      <c r="Y33" s="49"/>
      <c r="Z33" s="49"/>
      <c r="AA33" s="49"/>
      <c r="AF33" s="49"/>
      <c r="AG33" s="49"/>
      <c r="AH33" s="114"/>
      <c r="AI33" s="114"/>
      <c r="AK33" s="114"/>
    </row>
    <row r="34" spans="1:33" ht="15.75">
      <c r="A34" s="49" t="s">
        <v>124</v>
      </c>
      <c r="B34" s="49"/>
      <c r="C34" s="112"/>
      <c r="D34" s="54"/>
      <c r="E34" s="54"/>
      <c r="F34" s="54"/>
      <c r="G34" s="54"/>
      <c r="H34" s="112"/>
      <c r="I34" s="112"/>
      <c r="J34" s="54"/>
      <c r="K34" s="54"/>
      <c r="L34" s="112"/>
      <c r="M34" s="54"/>
      <c r="N34" s="54"/>
      <c r="O34" s="49"/>
      <c r="P34" s="54"/>
      <c r="Q34" s="54"/>
      <c r="R34" s="54"/>
      <c r="S34" s="112"/>
      <c r="T34" s="112"/>
      <c r="U34" s="49"/>
      <c r="V34" s="49"/>
      <c r="W34" s="49"/>
      <c r="X34" s="46"/>
      <c r="Y34" s="49"/>
      <c r="Z34" s="49"/>
      <c r="AG34" s="49"/>
    </row>
    <row r="35" spans="1:29" s="112" customFormat="1" ht="15.75">
      <c r="A35" s="112" t="s">
        <v>358</v>
      </c>
      <c r="D35" s="52"/>
      <c r="E35" s="52"/>
      <c r="J35" s="49"/>
      <c r="K35" s="49"/>
      <c r="P35" s="49"/>
      <c r="Q35" s="49"/>
      <c r="V35" s="49"/>
      <c r="W35" s="49"/>
      <c r="AB35" s="49"/>
      <c r="AC35" s="49"/>
    </row>
    <row r="36" spans="1:33" s="139" customFormat="1" ht="15.75">
      <c r="A36" s="143" t="s">
        <v>198</v>
      </c>
      <c r="B36" s="143"/>
      <c r="D36" s="136"/>
      <c r="E36" s="136"/>
      <c r="F36" s="136"/>
      <c r="G36" s="144"/>
      <c r="H36" s="136"/>
      <c r="I36" s="136"/>
      <c r="J36" s="136"/>
      <c r="K36" s="136"/>
      <c r="L36" s="136"/>
      <c r="M36" s="144"/>
      <c r="N36" s="136"/>
      <c r="O36" s="136"/>
      <c r="P36" s="136"/>
      <c r="Q36" s="136"/>
      <c r="R36" s="136"/>
      <c r="S36" s="144"/>
      <c r="T36" s="136"/>
      <c r="U36" s="136"/>
      <c r="V36" s="137"/>
      <c r="W36" s="137"/>
      <c r="X36" s="137"/>
      <c r="Y36" s="138"/>
      <c r="Z36" s="137"/>
      <c r="AA36" s="137"/>
      <c r="AF36" s="137"/>
      <c r="AG36" s="137"/>
    </row>
    <row r="37" spans="1:33" ht="15.75">
      <c r="A37" s="46"/>
      <c r="B37" s="46"/>
      <c r="C37" s="46"/>
      <c r="F37" s="53" t="s">
        <v>89</v>
      </c>
      <c r="G37" s="53" t="s">
        <v>90</v>
      </c>
      <c r="H37" s="53" t="s">
        <v>91</v>
      </c>
      <c r="I37" s="53" t="s">
        <v>92</v>
      </c>
      <c r="J37" s="53" t="s">
        <v>23</v>
      </c>
      <c r="K37" s="53" t="s">
        <v>93</v>
      </c>
      <c r="L37" s="53" t="s">
        <v>94</v>
      </c>
      <c r="M37" s="53" t="s">
        <v>95</v>
      </c>
      <c r="N37" s="53" t="s">
        <v>96</v>
      </c>
      <c r="O37" s="53" t="s">
        <v>97</v>
      </c>
      <c r="P37" s="53" t="s">
        <v>98</v>
      </c>
      <c r="Q37" s="53" t="s">
        <v>99</v>
      </c>
      <c r="R37" s="53" t="s">
        <v>73</v>
      </c>
      <c r="V37" s="49"/>
      <c r="W37" s="49"/>
      <c r="X37" s="49"/>
      <c r="Y37" s="52"/>
      <c r="Z37" s="49"/>
      <c r="AA37" s="49"/>
      <c r="AF37" s="49"/>
      <c r="AG37" s="49"/>
    </row>
    <row r="38" spans="1:33" ht="15.75">
      <c r="A38" s="46"/>
      <c r="B38" s="46"/>
      <c r="C38" s="46"/>
      <c r="F38" s="53"/>
      <c r="G38" s="50"/>
      <c r="H38" s="50"/>
      <c r="I38" s="53"/>
      <c r="J38" s="50"/>
      <c r="K38" s="50"/>
      <c r="L38" s="50"/>
      <c r="M38" s="50"/>
      <c r="N38" s="53"/>
      <c r="O38" s="50"/>
      <c r="P38" s="53"/>
      <c r="Q38" s="50"/>
      <c r="R38" s="53"/>
      <c r="V38" s="49"/>
      <c r="W38" s="49"/>
      <c r="X38" s="49"/>
      <c r="Y38" s="52"/>
      <c r="Z38" s="49"/>
      <c r="AA38" s="49"/>
      <c r="AF38" s="49"/>
      <c r="AG38" s="49"/>
    </row>
    <row r="39" spans="1:33" ht="15.75">
      <c r="A39" s="46" t="s">
        <v>343</v>
      </c>
      <c r="B39" s="46"/>
      <c r="C39" s="49"/>
      <c r="F39" s="322">
        <v>0</v>
      </c>
      <c r="G39" s="322">
        <v>0</v>
      </c>
      <c r="H39" s="322">
        <v>0.34</v>
      </c>
      <c r="I39" s="322">
        <v>2.26</v>
      </c>
      <c r="J39" s="322">
        <v>4.34</v>
      </c>
      <c r="K39" s="322">
        <v>6.21</v>
      </c>
      <c r="L39" s="322">
        <v>4.9</v>
      </c>
      <c r="M39" s="322">
        <v>3.11</v>
      </c>
      <c r="N39" s="322">
        <v>2.01</v>
      </c>
      <c r="O39" s="322">
        <v>1.71</v>
      </c>
      <c r="P39" s="322">
        <v>0.06</v>
      </c>
      <c r="Q39" s="322">
        <v>0</v>
      </c>
      <c r="R39" s="45">
        <f>SUM(F39:Q39)</f>
        <v>24.939999999999994</v>
      </c>
      <c r="V39" s="49"/>
      <c r="W39" s="49"/>
      <c r="X39" s="49"/>
      <c r="Y39" s="52"/>
      <c r="Z39" s="49"/>
      <c r="AA39" s="49"/>
      <c r="AB39" s="49"/>
      <c r="AC39" s="49"/>
      <c r="AD39" s="49"/>
      <c r="AE39" s="52"/>
      <c r="AF39" s="49"/>
      <c r="AG39" s="49"/>
    </row>
    <row r="40" spans="1:33" ht="15.75">
      <c r="A40" s="46" t="s">
        <v>100</v>
      </c>
      <c r="B40" s="46"/>
      <c r="C40" s="49"/>
      <c r="F40" s="45">
        <f>F39/$R39</f>
        <v>0</v>
      </c>
      <c r="G40" s="45">
        <f aca="true" t="shared" si="36" ref="G40:Q40">G39/$R39</f>
        <v>0</v>
      </c>
      <c r="H40" s="45">
        <f t="shared" si="36"/>
        <v>0.013632718524458706</v>
      </c>
      <c r="I40" s="45">
        <f t="shared" si="36"/>
        <v>0.09061748195669608</v>
      </c>
      <c r="J40" s="45">
        <f t="shared" si="36"/>
        <v>0.17401764234161993</v>
      </c>
      <c r="K40" s="45">
        <f t="shared" si="36"/>
        <v>0.2489975942261428</v>
      </c>
      <c r="L40" s="45">
        <f t="shared" si="36"/>
        <v>0.19647153167602252</v>
      </c>
      <c r="M40" s="45">
        <f t="shared" si="36"/>
        <v>0.12469927826784284</v>
      </c>
      <c r="N40" s="45">
        <f t="shared" si="36"/>
        <v>0.0805934242181235</v>
      </c>
      <c r="O40" s="45">
        <f t="shared" si="36"/>
        <v>0.06856455493183643</v>
      </c>
      <c r="P40" s="45">
        <f t="shared" si="36"/>
        <v>0.002405773857257418</v>
      </c>
      <c r="Q40" s="45">
        <f t="shared" si="36"/>
        <v>0</v>
      </c>
      <c r="R40" s="45">
        <f>SUM(F40:Q40)</f>
        <v>1.0000000000000002</v>
      </c>
      <c r="V40" s="49"/>
      <c r="W40" s="49"/>
      <c r="X40" s="49"/>
      <c r="Y40" s="52"/>
      <c r="Z40" s="49"/>
      <c r="AA40" s="49"/>
      <c r="AB40" s="49"/>
      <c r="AC40" s="49"/>
      <c r="AD40" s="49"/>
      <c r="AE40" s="52"/>
      <c r="AF40" s="49"/>
      <c r="AG40" s="49"/>
    </row>
    <row r="41" spans="1:33" ht="15.75" thickBot="1">
      <c r="A41" s="46"/>
      <c r="B41" s="46"/>
      <c r="C41" s="49"/>
      <c r="F41" s="49"/>
      <c r="G41" s="52"/>
      <c r="H41" s="49"/>
      <c r="I41" s="49"/>
      <c r="J41" s="49"/>
      <c r="K41" s="49"/>
      <c r="L41" s="49"/>
      <c r="M41" s="52"/>
      <c r="N41" s="49"/>
      <c r="O41" s="49"/>
      <c r="P41" s="49"/>
      <c r="Q41" s="49"/>
      <c r="R41" s="49"/>
      <c r="S41" s="52"/>
      <c r="T41" s="49"/>
      <c r="V41" s="49"/>
      <c r="W41" s="49"/>
      <c r="X41" s="49"/>
      <c r="Y41" s="52"/>
      <c r="Z41" s="49"/>
      <c r="AA41" s="49"/>
      <c r="AB41" s="49"/>
      <c r="AC41" s="49"/>
      <c r="AD41" s="49"/>
      <c r="AE41" s="52"/>
      <c r="AF41" s="49"/>
      <c r="AG41" s="49"/>
    </row>
    <row r="42" spans="1:33" s="137" customFormat="1" ht="15.75" thickBot="1">
      <c r="A42" s="136" t="s">
        <v>197</v>
      </c>
      <c r="B42" s="136"/>
      <c r="F42" s="340">
        <v>21.22</v>
      </c>
      <c r="G42" s="145" t="s">
        <v>10</v>
      </c>
      <c r="Z42" s="136"/>
      <c r="AA42" s="136"/>
      <c r="AB42" s="136"/>
      <c r="AC42" s="136"/>
      <c r="AD42" s="136"/>
      <c r="AE42" s="144"/>
      <c r="AF42" s="136"/>
      <c r="AG42" s="136"/>
    </row>
    <row r="43" spans="1:33" ht="15.75">
      <c r="A43" s="46"/>
      <c r="B43" s="46"/>
      <c r="C43" s="49"/>
      <c r="F43" s="53" t="s">
        <v>89</v>
      </c>
      <c r="G43" s="53" t="s">
        <v>90</v>
      </c>
      <c r="H43" s="53" t="s">
        <v>91</v>
      </c>
      <c r="I43" s="53" t="s">
        <v>92</v>
      </c>
      <c r="J43" s="53" t="s">
        <v>23</v>
      </c>
      <c r="K43" s="53" t="s">
        <v>93</v>
      </c>
      <c r="L43" s="53" t="s">
        <v>94</v>
      </c>
      <c r="M43" s="53" t="s">
        <v>95</v>
      </c>
      <c r="N43" s="53" t="s">
        <v>96</v>
      </c>
      <c r="O43" s="53" t="s">
        <v>97</v>
      </c>
      <c r="P43" s="53" t="s">
        <v>98</v>
      </c>
      <c r="Q43" s="53" t="s">
        <v>99</v>
      </c>
      <c r="R43" s="53" t="s">
        <v>73</v>
      </c>
      <c r="V43" s="49"/>
      <c r="W43" s="49"/>
      <c r="X43" s="49"/>
      <c r="Y43" s="52"/>
      <c r="Z43" s="49"/>
      <c r="AA43" s="49"/>
      <c r="AB43" s="49"/>
      <c r="AC43" s="49"/>
      <c r="AD43" s="49"/>
      <c r="AE43" s="52"/>
      <c r="AF43" s="49"/>
      <c r="AG43" s="49"/>
    </row>
    <row r="44" spans="1:33" ht="15.75">
      <c r="A44" s="46"/>
      <c r="B44" s="46"/>
      <c r="C44" s="49"/>
      <c r="F44" s="53"/>
      <c r="G44" s="50"/>
      <c r="H44" s="50"/>
      <c r="I44" s="53"/>
      <c r="J44" s="50"/>
      <c r="K44" s="50"/>
      <c r="L44" s="50"/>
      <c r="M44" s="50"/>
      <c r="N44" s="53"/>
      <c r="O44" s="50"/>
      <c r="P44" s="53"/>
      <c r="Q44" s="50"/>
      <c r="R44" s="53"/>
      <c r="V44" s="49"/>
      <c r="W44" s="49"/>
      <c r="X44" s="49"/>
      <c r="Y44" s="52"/>
      <c r="Z44" s="49"/>
      <c r="AA44" s="49"/>
      <c r="AB44" s="49"/>
      <c r="AC44" s="49"/>
      <c r="AD44" s="49"/>
      <c r="AE44" s="52"/>
      <c r="AF44" s="49"/>
      <c r="AG44" s="49"/>
    </row>
    <row r="45" spans="1:33" ht="15.75">
      <c r="A45" s="46" t="s">
        <v>7</v>
      </c>
      <c r="B45" s="46"/>
      <c r="C45" s="49"/>
      <c r="F45" s="49">
        <f>F40*$F42</f>
        <v>0</v>
      </c>
      <c r="G45" s="49">
        <f aca="true" t="shared" si="37" ref="G45:Q45">G40*$F42</f>
        <v>0</v>
      </c>
      <c r="H45" s="49">
        <f t="shared" si="37"/>
        <v>0.2892862870890137</v>
      </c>
      <c r="I45" s="49">
        <f t="shared" si="37"/>
        <v>1.9229029671210909</v>
      </c>
      <c r="J45" s="49">
        <f t="shared" si="37"/>
        <v>3.6926543704891746</v>
      </c>
      <c r="K45" s="49">
        <f t="shared" si="37"/>
        <v>5.28372894947875</v>
      </c>
      <c r="L45" s="49">
        <f t="shared" si="37"/>
        <v>4.169125902165198</v>
      </c>
      <c r="M45" s="49">
        <f t="shared" si="37"/>
        <v>2.646118684843625</v>
      </c>
      <c r="N45" s="49">
        <f t="shared" si="37"/>
        <v>1.7101924619085807</v>
      </c>
      <c r="O45" s="49">
        <f t="shared" si="37"/>
        <v>1.4549398556535689</v>
      </c>
      <c r="P45" s="49">
        <f t="shared" si="37"/>
        <v>0.051050521251002415</v>
      </c>
      <c r="Q45" s="49">
        <f t="shared" si="37"/>
        <v>0</v>
      </c>
      <c r="R45" s="49">
        <f>SUM(F45:Q45)</f>
        <v>21.220000000000002</v>
      </c>
      <c r="V45" s="49"/>
      <c r="W45" s="49"/>
      <c r="Y45" s="52"/>
      <c r="Z45" s="49"/>
      <c r="AA45" s="49"/>
      <c r="AB45" s="49"/>
      <c r="AC45" s="49"/>
      <c r="AD45" s="49"/>
      <c r="AE45" s="52"/>
      <c r="AF45" s="49"/>
      <c r="AG45" s="49"/>
    </row>
    <row r="46" spans="1:33" ht="15.75">
      <c r="A46" s="46" t="s">
        <v>6</v>
      </c>
      <c r="B46" s="46"/>
      <c r="C46" s="49"/>
      <c r="F46" s="49">
        <f aca="true" t="shared" si="38" ref="F46:Q46">F45/12</f>
        <v>0</v>
      </c>
      <c r="G46" s="49">
        <f t="shared" si="38"/>
        <v>0</v>
      </c>
      <c r="H46" s="49">
        <f t="shared" si="38"/>
        <v>0.024107190590751143</v>
      </c>
      <c r="I46" s="49">
        <f t="shared" si="38"/>
        <v>0.16024191392675757</v>
      </c>
      <c r="J46" s="49">
        <f t="shared" si="38"/>
        <v>0.30772119754076455</v>
      </c>
      <c r="K46" s="49">
        <f t="shared" si="38"/>
        <v>0.4403107457898958</v>
      </c>
      <c r="L46" s="49">
        <f t="shared" si="38"/>
        <v>0.3474271585137665</v>
      </c>
      <c r="M46" s="49">
        <f t="shared" si="38"/>
        <v>0.22050989040363542</v>
      </c>
      <c r="N46" s="49">
        <f t="shared" si="38"/>
        <v>0.14251603849238173</v>
      </c>
      <c r="O46" s="49">
        <f t="shared" si="38"/>
        <v>0.12124498797113074</v>
      </c>
      <c r="P46" s="49">
        <f t="shared" si="38"/>
        <v>0.004254210104250201</v>
      </c>
      <c r="Q46" s="49">
        <f t="shared" si="38"/>
        <v>0</v>
      </c>
      <c r="R46" s="49">
        <f>SUM(F46:Q46)</f>
        <v>1.7683333333333338</v>
      </c>
      <c r="U46" s="112"/>
      <c r="V46" s="49"/>
      <c r="W46" s="49"/>
      <c r="X46" s="49"/>
      <c r="Y46" s="52"/>
      <c r="Z46" s="49"/>
      <c r="AA46" s="49"/>
      <c r="AB46" s="49"/>
      <c r="AC46" s="49"/>
      <c r="AD46" s="49"/>
      <c r="AE46" s="52"/>
      <c r="AF46" s="49"/>
      <c r="AG46" s="49"/>
    </row>
    <row r="52" spans="1:2" ht="15.75">
      <c r="A52" s="178"/>
      <c r="B52" s="112"/>
    </row>
    <row r="53" spans="1:2" ht="15.75">
      <c r="A53" s="51"/>
      <c r="B53" s="112"/>
    </row>
    <row r="54" spans="1:2" ht="15.75">
      <c r="A54" s="51"/>
      <c r="B54" s="112"/>
    </row>
    <row r="55" spans="1:2" ht="15.75">
      <c r="A55" s="51"/>
      <c r="B55" s="112"/>
    </row>
    <row r="56" spans="1:2" ht="15.75">
      <c r="A56" s="51"/>
      <c r="B56" s="112"/>
    </row>
    <row r="57" spans="1:2" ht="15.75">
      <c r="A57" s="51"/>
      <c r="B57" s="112"/>
    </row>
    <row r="58" spans="1:2" ht="15.75">
      <c r="A58" s="51"/>
      <c r="B58" s="112"/>
    </row>
    <row r="59" spans="1:2" ht="15.75">
      <c r="A59" s="51"/>
      <c r="B59" s="112"/>
    </row>
    <row r="60" spans="1:2" ht="15.75">
      <c r="A60" s="51"/>
      <c r="B60" s="112"/>
    </row>
    <row r="61" spans="1:2" ht="15.75">
      <c r="A61" s="51"/>
      <c r="B61" s="112"/>
    </row>
    <row r="62" spans="1:2" ht="15.75">
      <c r="A62" s="51"/>
      <c r="B62" s="112"/>
    </row>
    <row r="63" spans="1:2" ht="15.75">
      <c r="A63" s="108"/>
      <c r="B63" s="112"/>
    </row>
  </sheetData>
  <sheetProtection password="CC93" sheet="1" objects="1" scenarios="1"/>
  <mergeCells count="11">
    <mergeCell ref="Q6:V6"/>
    <mergeCell ref="AC6:AH6"/>
    <mergeCell ref="AI6:AN6"/>
    <mergeCell ref="AO6:AT6"/>
    <mergeCell ref="S27:X27"/>
    <mergeCell ref="W6:AB6"/>
    <mergeCell ref="A3:C3"/>
    <mergeCell ref="E6:J6"/>
    <mergeCell ref="F27:K27"/>
    <mergeCell ref="L27:Q27"/>
    <mergeCell ref="K6:P6"/>
  </mergeCells>
  <printOptions gridLines="1" horizontalCentered="1"/>
  <pageMargins left="0.75" right="0.25" top="0.75" bottom="0.75" header="0.5" footer="0.5"/>
  <pageSetup fitToHeight="1" fitToWidth="1" horizontalDpi="600" verticalDpi="600" orientation="landscape" paperSize="17" scale="40" r:id="rId3"/>
  <headerFooter alignWithMargins="0">
    <oddHeader>&amp;L&amp;D</oddHeader>
    <oddFooter>&amp;L&amp;F&amp;R&amp;A</oddFooter>
  </headerFooter>
  <colBreaks count="1" manualBreakCount="1">
    <brk id="46" max="6553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62"/>
  <sheetViews>
    <sheetView zoomScale="75" zoomScaleNormal="75" zoomScaleSheetLayoutView="75" zoomScalePageLayoutView="0" workbookViewId="0" topLeftCell="A1">
      <selection activeCell="A7" sqref="A7"/>
    </sheetView>
  </sheetViews>
  <sheetFormatPr defaultColWidth="9.140625" defaultRowHeight="12.75"/>
  <cols>
    <col min="1" max="1" width="28.28125" style="110" customWidth="1"/>
    <col min="2" max="24" width="10.57421875" style="110" customWidth="1"/>
    <col min="25" max="25" width="8.7109375" style="110" customWidth="1"/>
    <col min="26" max="27" width="9.8515625" style="110" bestFit="1" customWidth="1"/>
    <col min="28" max="28" width="8.7109375" style="110" bestFit="1" customWidth="1"/>
    <col min="29" max="30" width="9.8515625" style="110" bestFit="1" customWidth="1"/>
    <col min="31" max="31" width="10.140625" style="110" customWidth="1"/>
    <col min="32" max="33" width="9.8515625" style="110" bestFit="1" customWidth="1"/>
    <col min="34" max="34" width="10.28125" style="110" customWidth="1"/>
    <col min="35" max="35" width="15.7109375" style="110" customWidth="1"/>
    <col min="36" max="36" width="7.140625" style="110" bestFit="1" customWidth="1"/>
    <col min="37" max="37" width="8.7109375" style="110" customWidth="1"/>
    <col min="38" max="38" width="8.7109375" style="110" bestFit="1" customWidth="1"/>
    <col min="39" max="39" width="8.57421875" style="110" bestFit="1" customWidth="1"/>
    <col min="40" max="40" width="9.57421875" style="110" customWidth="1"/>
    <col min="41" max="207" width="9.7109375" style="110" customWidth="1"/>
    <col min="208" max="16384" width="9.140625" style="110" customWidth="1"/>
  </cols>
  <sheetData>
    <row r="1" spans="1:33" ht="18">
      <c r="A1" s="60" t="s">
        <v>268</v>
      </c>
      <c r="B1" s="49" t="s">
        <v>266</v>
      </c>
      <c r="C1" s="49"/>
      <c r="D1" s="49"/>
      <c r="E1" s="49"/>
      <c r="F1" s="49"/>
      <c r="G1" s="52"/>
      <c r="H1" s="49"/>
      <c r="I1" s="49"/>
      <c r="J1" s="49"/>
      <c r="K1" s="49"/>
      <c r="L1" s="49"/>
      <c r="M1" s="52"/>
      <c r="O1" s="46"/>
      <c r="P1" s="46"/>
      <c r="Q1" s="46"/>
      <c r="R1" s="49"/>
      <c r="S1" s="52"/>
      <c r="T1" s="49"/>
      <c r="U1" s="49"/>
      <c r="V1" s="49"/>
      <c r="W1" s="49"/>
      <c r="X1" s="49"/>
      <c r="Y1" s="52"/>
      <c r="Z1" s="49"/>
      <c r="AA1" s="49"/>
      <c r="AB1" s="49"/>
      <c r="AC1" s="49"/>
      <c r="AD1" s="49"/>
      <c r="AE1" s="52"/>
      <c r="AF1" s="49"/>
      <c r="AG1" s="49"/>
    </row>
    <row r="2" spans="1:45" s="112" customFormat="1" ht="16.5" customHeight="1">
      <c r="A2" s="46" t="s">
        <v>264</v>
      </c>
      <c r="B2" s="46"/>
      <c r="C2" s="128"/>
      <c r="D2" s="123"/>
      <c r="E2" s="123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61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</row>
    <row r="3" spans="1:30" s="45" customFormat="1" ht="18">
      <c r="A3" s="389" t="s">
        <v>167</v>
      </c>
      <c r="B3" s="389"/>
      <c r="C3" s="389"/>
      <c r="D3" s="89">
        <v>0.338</v>
      </c>
      <c r="E3" s="45" t="s">
        <v>172</v>
      </c>
      <c r="P3" s="42"/>
      <c r="T3" s="42"/>
      <c r="Y3" s="42"/>
      <c r="AB3" s="4"/>
      <c r="AD3" s="54"/>
    </row>
    <row r="4" spans="1:18" s="36" customFormat="1" ht="18">
      <c r="A4" s="91" t="s">
        <v>228</v>
      </c>
      <c r="B4" s="45"/>
      <c r="C4" s="47"/>
      <c r="D4" s="47"/>
      <c r="E4" s="47"/>
      <c r="F4" s="47"/>
      <c r="G4" s="47"/>
      <c r="H4" s="47"/>
      <c r="I4" s="39"/>
      <c r="J4" s="39"/>
      <c r="K4" s="39"/>
      <c r="L4" s="45"/>
      <c r="M4" s="45"/>
      <c r="N4" s="45"/>
      <c r="O4" s="42"/>
      <c r="P4" s="45"/>
      <c r="Q4" s="45"/>
      <c r="R4" s="39"/>
    </row>
    <row r="5" spans="1:41" s="61" customFormat="1" ht="18">
      <c r="A5" s="133" t="s">
        <v>194</v>
      </c>
      <c r="B5" s="133"/>
      <c r="C5" s="111"/>
      <c r="D5" s="111"/>
      <c r="E5" s="111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19"/>
      <c r="AH5" s="111"/>
      <c r="AI5" s="111"/>
      <c r="AJ5" s="111"/>
      <c r="AK5" s="111"/>
      <c r="AL5" s="111"/>
      <c r="AM5" s="111"/>
      <c r="AN5" s="111"/>
      <c r="AO5" s="111"/>
    </row>
    <row r="6" spans="1:49" s="49" customFormat="1" ht="15.75" customHeight="1">
      <c r="A6" s="50"/>
      <c r="B6" s="50"/>
      <c r="D6" s="50"/>
      <c r="E6" s="390" t="s">
        <v>226</v>
      </c>
      <c r="F6" s="391"/>
      <c r="G6" s="391"/>
      <c r="H6" s="391"/>
      <c r="I6" s="391"/>
      <c r="J6" s="391"/>
      <c r="K6" s="160"/>
      <c r="L6" s="387"/>
      <c r="M6" s="388"/>
      <c r="N6" s="388"/>
      <c r="O6" s="388"/>
      <c r="P6" s="388"/>
      <c r="Q6" s="73"/>
      <c r="R6" s="387"/>
      <c r="S6" s="388"/>
      <c r="T6" s="388"/>
      <c r="U6" s="388"/>
      <c r="V6" s="388"/>
      <c r="W6" s="73"/>
      <c r="X6" s="387"/>
      <c r="Y6" s="388"/>
      <c r="Z6" s="388"/>
      <c r="AA6" s="388"/>
      <c r="AB6" s="388"/>
      <c r="AC6" s="73"/>
      <c r="AD6" s="387"/>
      <c r="AE6" s="388"/>
      <c r="AF6" s="388"/>
      <c r="AG6" s="388"/>
      <c r="AH6" s="388"/>
      <c r="AI6" s="73"/>
      <c r="AJ6" s="387"/>
      <c r="AK6" s="388"/>
      <c r="AL6" s="388"/>
      <c r="AM6" s="388"/>
      <c r="AN6" s="388"/>
      <c r="AO6" s="73"/>
      <c r="AP6" s="387"/>
      <c r="AQ6" s="388"/>
      <c r="AR6" s="388"/>
      <c r="AS6" s="388"/>
      <c r="AT6" s="388"/>
      <c r="AU6" s="61"/>
      <c r="AV6" s="61"/>
      <c r="AW6" s="61"/>
    </row>
    <row r="7" spans="6:237" s="122" customFormat="1" ht="15">
      <c r="F7" s="338">
        <v>0.44</v>
      </c>
      <c r="G7" s="115" t="s">
        <v>191</v>
      </c>
      <c r="H7" s="115"/>
      <c r="I7" s="115"/>
      <c r="K7" s="61"/>
      <c r="L7" s="54"/>
      <c r="M7" s="115"/>
      <c r="N7" s="115"/>
      <c r="O7" s="115"/>
      <c r="P7" s="61"/>
      <c r="Q7" s="61"/>
      <c r="R7" s="45"/>
      <c r="S7" s="115"/>
      <c r="T7" s="115"/>
      <c r="U7" s="115"/>
      <c r="V7" s="61"/>
      <c r="W7" s="61"/>
      <c r="X7" s="54"/>
      <c r="Y7" s="115"/>
      <c r="Z7" s="115"/>
      <c r="AA7" s="115"/>
      <c r="AB7" s="61"/>
      <c r="AC7" s="61"/>
      <c r="AD7" s="54"/>
      <c r="AE7" s="115"/>
      <c r="AF7" s="115"/>
      <c r="AG7" s="115"/>
      <c r="AH7" s="61"/>
      <c r="AI7" s="61"/>
      <c r="AJ7" s="54"/>
      <c r="AK7" s="115"/>
      <c r="AL7" s="115"/>
      <c r="AM7" s="115"/>
      <c r="AN7" s="61"/>
      <c r="AO7" s="61"/>
      <c r="AP7" s="54"/>
      <c r="AQ7" s="115"/>
      <c r="AR7" s="115"/>
      <c r="AS7" s="115"/>
      <c r="AT7" s="61"/>
      <c r="AU7" s="61"/>
      <c r="AV7" s="115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</row>
    <row r="8" spans="6:48" s="122" customFormat="1" ht="15">
      <c r="F8" s="54">
        <v>0</v>
      </c>
      <c r="G8" s="115" t="s">
        <v>212</v>
      </c>
      <c r="H8" s="115"/>
      <c r="I8" s="115"/>
      <c r="L8" s="54"/>
      <c r="M8" s="115"/>
      <c r="N8" s="115"/>
      <c r="O8" s="115"/>
      <c r="R8" s="54"/>
      <c r="S8" s="115"/>
      <c r="T8" s="115"/>
      <c r="U8" s="115"/>
      <c r="X8" s="54"/>
      <c r="Y8" s="115"/>
      <c r="Z8" s="115"/>
      <c r="AA8" s="115"/>
      <c r="AD8" s="54"/>
      <c r="AE8" s="115"/>
      <c r="AF8" s="115"/>
      <c r="AG8" s="115"/>
      <c r="AJ8" s="54"/>
      <c r="AK8" s="115"/>
      <c r="AL8" s="115"/>
      <c r="AM8" s="115"/>
      <c r="AP8" s="54"/>
      <c r="AQ8" s="115"/>
      <c r="AR8" s="115"/>
      <c r="AS8" s="115"/>
      <c r="AV8" s="112"/>
    </row>
    <row r="9" spans="3:29" s="112" customFormat="1" ht="15">
      <c r="C9" s="130"/>
      <c r="D9" s="49"/>
      <c r="E9" s="49"/>
      <c r="F9" s="341">
        <v>19.09</v>
      </c>
      <c r="G9" s="112" t="s">
        <v>200</v>
      </c>
      <c r="J9" s="49"/>
      <c r="K9" s="49"/>
      <c r="L9" s="51"/>
      <c r="P9" s="49"/>
      <c r="Q9" s="49"/>
      <c r="R9" s="54"/>
      <c r="V9" s="49"/>
      <c r="W9" s="49"/>
      <c r="X9" s="54"/>
      <c r="AB9" s="49"/>
      <c r="AC9" s="49"/>
    </row>
    <row r="10" spans="3:43" s="112" customFormat="1" ht="15">
      <c r="C10" s="130"/>
      <c r="F10" s="54">
        <f>SUM(F7:F9)</f>
        <v>19.53</v>
      </c>
      <c r="G10" s="49" t="s">
        <v>201</v>
      </c>
      <c r="H10" s="49"/>
      <c r="I10" s="49"/>
      <c r="L10" s="54"/>
      <c r="M10" s="49"/>
      <c r="N10" s="49"/>
      <c r="O10" s="49"/>
      <c r="R10" s="54"/>
      <c r="S10" s="49"/>
      <c r="T10" s="49"/>
      <c r="U10" s="49"/>
      <c r="X10" s="54"/>
      <c r="Y10" s="49"/>
      <c r="Z10" s="49"/>
      <c r="AA10" s="49"/>
      <c r="AD10" s="54"/>
      <c r="AE10" s="49"/>
      <c r="AF10" s="49"/>
      <c r="AJ10" s="54"/>
      <c r="AK10" s="49"/>
      <c r="AP10" s="54"/>
      <c r="AQ10" s="49"/>
    </row>
    <row r="11" spans="1:46" s="127" customFormat="1" ht="93.75" customHeight="1">
      <c r="A11" s="125" t="s">
        <v>88</v>
      </c>
      <c r="B11" s="50" t="s">
        <v>265</v>
      </c>
      <c r="C11" s="124" t="s">
        <v>206</v>
      </c>
      <c r="D11" s="126" t="s">
        <v>196</v>
      </c>
      <c r="E11" s="125" t="s">
        <v>19</v>
      </c>
      <c r="F11" s="126" t="s">
        <v>362</v>
      </c>
      <c r="G11" s="126" t="s">
        <v>217</v>
      </c>
      <c r="H11" s="126" t="s">
        <v>192</v>
      </c>
      <c r="I11" s="126" t="s">
        <v>195</v>
      </c>
      <c r="J11" s="124" t="s">
        <v>297</v>
      </c>
      <c r="K11" s="125"/>
      <c r="L11" s="126"/>
      <c r="M11" s="126"/>
      <c r="N11" s="126"/>
      <c r="O11" s="126"/>
      <c r="P11" s="124"/>
      <c r="Q11" s="125"/>
      <c r="R11" s="126"/>
      <c r="S11" s="126"/>
      <c r="T11" s="126"/>
      <c r="U11" s="126"/>
      <c r="V11" s="124"/>
      <c r="W11" s="125"/>
      <c r="X11" s="126"/>
      <c r="Y11" s="126"/>
      <c r="Z11" s="126"/>
      <c r="AA11" s="126"/>
      <c r="AB11" s="124"/>
      <c r="AC11" s="125"/>
      <c r="AD11" s="126"/>
      <c r="AE11" s="126"/>
      <c r="AF11" s="126"/>
      <c r="AG11" s="126"/>
      <c r="AH11" s="124"/>
      <c r="AI11" s="125"/>
      <c r="AJ11" s="126"/>
      <c r="AK11" s="126"/>
      <c r="AL11" s="126"/>
      <c r="AM11" s="126"/>
      <c r="AN11" s="124"/>
      <c r="AO11" s="125"/>
      <c r="AP11" s="126"/>
      <c r="AQ11" s="126"/>
      <c r="AR11" s="126"/>
      <c r="AS11" s="126"/>
      <c r="AT11" s="124"/>
    </row>
    <row r="12" spans="1:46" s="127" customFormat="1" ht="15.75" customHeight="1">
      <c r="A12" s="55" t="s">
        <v>180</v>
      </c>
      <c r="B12" s="54">
        <f>F45/$D$3</f>
        <v>0</v>
      </c>
      <c r="C12" s="179">
        <f>1.56/12</f>
        <v>0.13</v>
      </c>
      <c r="D12" s="338">
        <f>0.02/12</f>
        <v>0.0016666666666666668</v>
      </c>
      <c r="E12" s="126"/>
      <c r="F12" s="54">
        <f>$F$7*(IF($C12-$D12&lt;0,0,ABS($C12-$D12)))</f>
        <v>0.056466666666666665</v>
      </c>
      <c r="G12" s="54">
        <f aca="true" t="shared" si="0" ref="G12:G23">F12/$D$3</f>
        <v>0.1670611439842209</v>
      </c>
      <c r="H12" s="49">
        <f>F$9*$B12</f>
        <v>0</v>
      </c>
      <c r="I12" s="54">
        <f>G12+H12</f>
        <v>0.1670611439842209</v>
      </c>
      <c r="J12" s="338">
        <v>0</v>
      </c>
      <c r="K12" s="50"/>
      <c r="L12" s="54"/>
      <c r="M12" s="304"/>
      <c r="N12" s="49"/>
      <c r="O12" s="54"/>
      <c r="P12" s="54"/>
      <c r="Q12" s="50"/>
      <c r="R12" s="54"/>
      <c r="S12" s="54"/>
      <c r="T12" s="49"/>
      <c r="U12" s="54"/>
      <c r="V12" s="54"/>
      <c r="W12" s="50"/>
      <c r="X12" s="54"/>
      <c r="Y12" s="54"/>
      <c r="Z12" s="49"/>
      <c r="AA12" s="54"/>
      <c r="AB12" s="54"/>
      <c r="AC12" s="50"/>
      <c r="AD12" s="54"/>
      <c r="AE12" s="54"/>
      <c r="AF12" s="49"/>
      <c r="AG12" s="54"/>
      <c r="AH12" s="54"/>
      <c r="AI12" s="50"/>
      <c r="AJ12" s="126"/>
      <c r="AK12" s="126"/>
      <c r="AL12" s="126"/>
      <c r="AM12" s="126"/>
      <c r="AN12" s="124"/>
      <c r="AO12" s="50"/>
      <c r="AP12" s="126"/>
      <c r="AQ12" s="126"/>
      <c r="AR12" s="126"/>
      <c r="AS12" s="126"/>
      <c r="AT12" s="124"/>
    </row>
    <row r="13" spans="1:46" s="112" customFormat="1" ht="15.75">
      <c r="A13" s="55" t="s">
        <v>21</v>
      </c>
      <c r="B13" s="51">
        <f>G45/$D$3</f>
        <v>0</v>
      </c>
      <c r="C13" s="108">
        <f>2.07/12</f>
        <v>0.1725</v>
      </c>
      <c r="D13" s="324">
        <f>0.04/12</f>
        <v>0.0033333333333333335</v>
      </c>
      <c r="E13" s="54"/>
      <c r="F13" s="54">
        <f>$F$7*(IF($C13-$D13&lt;0,0,ABS($C13-$D13)))</f>
        <v>0.07443333333333334</v>
      </c>
      <c r="G13" s="54">
        <f t="shared" si="0"/>
        <v>0.22021696252465484</v>
      </c>
      <c r="H13" s="49">
        <f>F$9*$B13</f>
        <v>0</v>
      </c>
      <c r="I13" s="54">
        <f aca="true" t="shared" si="1" ref="I13:I22">G13+H13</f>
        <v>0.22021696252465484</v>
      </c>
      <c r="J13" s="338">
        <v>0</v>
      </c>
      <c r="K13" s="49"/>
      <c r="L13" s="54"/>
      <c r="M13" s="54"/>
      <c r="N13" s="49"/>
      <c r="O13" s="54"/>
      <c r="P13" s="54"/>
      <c r="Q13" s="49"/>
      <c r="R13" s="54"/>
      <c r="S13" s="54"/>
      <c r="T13" s="49"/>
      <c r="U13" s="54"/>
      <c r="V13" s="54"/>
      <c r="W13" s="49"/>
      <c r="X13" s="54"/>
      <c r="Y13" s="54"/>
      <c r="Z13" s="49"/>
      <c r="AA13" s="54"/>
      <c r="AB13" s="54"/>
      <c r="AC13" s="49"/>
      <c r="AD13" s="54"/>
      <c r="AE13" s="54"/>
      <c r="AF13" s="49"/>
      <c r="AG13" s="54"/>
      <c r="AH13" s="54"/>
      <c r="AI13" s="54"/>
      <c r="AJ13" s="54"/>
      <c r="AK13" s="54"/>
      <c r="AL13" s="49"/>
      <c r="AM13" s="54"/>
      <c r="AN13" s="54"/>
      <c r="AO13" s="131"/>
      <c r="AP13" s="54"/>
      <c r="AQ13" s="54"/>
      <c r="AR13" s="49"/>
      <c r="AS13" s="54"/>
      <c r="AT13" s="54"/>
    </row>
    <row r="14" spans="1:46" s="112" customFormat="1" ht="15.75">
      <c r="A14" s="55" t="s">
        <v>20</v>
      </c>
      <c r="B14" s="51">
        <f>H45/$D$3</f>
        <v>0.15273019827675696</v>
      </c>
      <c r="C14" s="108">
        <f>4.33/12</f>
        <v>0.36083333333333334</v>
      </c>
      <c r="D14" s="324">
        <f>0.83/12</f>
        <v>0.06916666666666667</v>
      </c>
      <c r="E14" s="321">
        <v>110.86440275833331</v>
      </c>
      <c r="F14" s="54">
        <f aca="true" t="shared" si="2" ref="F14:F23">$F$7*(IF($C14-$D14&lt;0,0,ABS($C14-$D14)))</f>
        <v>0.12833333333333335</v>
      </c>
      <c r="G14" s="54">
        <f t="shared" si="0"/>
        <v>0.37968441814595666</v>
      </c>
      <c r="H14" s="49">
        <f>F$9*$B14</f>
        <v>2.9156194851032904</v>
      </c>
      <c r="I14" s="54">
        <f t="shared" si="1"/>
        <v>3.295303903249247</v>
      </c>
      <c r="J14" s="54">
        <f>IF(E14-I14&gt;0,0,ABS(E14-I14))</f>
        <v>0</v>
      </c>
      <c r="K14" s="45"/>
      <c r="L14" s="54"/>
      <c r="M14" s="54"/>
      <c r="N14" s="49"/>
      <c r="O14" s="54"/>
      <c r="P14" s="54"/>
      <c r="Q14" s="45"/>
      <c r="R14" s="54"/>
      <c r="S14" s="54"/>
      <c r="T14" s="49"/>
      <c r="U14" s="54"/>
      <c r="V14" s="54"/>
      <c r="W14" s="54"/>
      <c r="X14" s="54"/>
      <c r="Y14" s="54"/>
      <c r="Z14" s="49"/>
      <c r="AA14" s="54"/>
      <c r="AB14" s="54"/>
      <c r="AC14" s="54"/>
      <c r="AD14" s="54"/>
      <c r="AE14" s="54"/>
      <c r="AF14" s="49"/>
      <c r="AG14" s="54"/>
      <c r="AH14" s="54"/>
      <c r="AI14" s="54"/>
      <c r="AJ14" s="54"/>
      <c r="AK14" s="54"/>
      <c r="AL14" s="49"/>
      <c r="AM14" s="54"/>
      <c r="AN14" s="54"/>
      <c r="AO14" s="131"/>
      <c r="AP14" s="54"/>
      <c r="AQ14" s="54"/>
      <c r="AR14" s="49"/>
      <c r="AS14" s="54"/>
      <c r="AT14" s="54"/>
    </row>
    <row r="15" spans="1:46" s="112" customFormat="1" ht="15.75">
      <c r="A15" s="55" t="s">
        <v>22</v>
      </c>
      <c r="B15" s="51">
        <f>I45/$D$3</f>
        <v>0.38083374115762775</v>
      </c>
      <c r="C15" s="108">
        <f>5.64/12</f>
        <v>0.47</v>
      </c>
      <c r="D15" s="324">
        <f>0.62/12</f>
        <v>0.051666666666666666</v>
      </c>
      <c r="E15" s="322">
        <v>117.20051502875</v>
      </c>
      <c r="F15" s="54">
        <f t="shared" si="2"/>
        <v>0.18406666666666666</v>
      </c>
      <c r="G15" s="54">
        <f t="shared" si="0"/>
        <v>0.5445759368836292</v>
      </c>
      <c r="H15" s="49">
        <f aca="true" t="shared" si="3" ref="H15:H22">F$9*$B15</f>
        <v>7.2701161186991134</v>
      </c>
      <c r="I15" s="54">
        <f t="shared" si="1"/>
        <v>7.814692055582743</v>
      </c>
      <c r="J15" s="54">
        <f aca="true" t="shared" si="4" ref="J15:J22">IF(E15-I15&gt;0,0,ABS(E15-I15))</f>
        <v>0</v>
      </c>
      <c r="K15" s="45"/>
      <c r="L15" s="54"/>
      <c r="M15" s="54"/>
      <c r="N15" s="49"/>
      <c r="O15" s="54"/>
      <c r="P15" s="54"/>
      <c r="Q15" s="45"/>
      <c r="R15" s="54"/>
      <c r="S15" s="54"/>
      <c r="T15" s="49"/>
      <c r="U15" s="54"/>
      <c r="V15" s="54"/>
      <c r="W15" s="54"/>
      <c r="X15" s="54"/>
      <c r="Y15" s="54"/>
      <c r="Z15" s="49"/>
      <c r="AA15" s="54"/>
      <c r="AB15" s="54"/>
      <c r="AC15" s="54"/>
      <c r="AD15" s="54"/>
      <c r="AE15" s="54"/>
      <c r="AF15" s="49"/>
      <c r="AG15" s="54"/>
      <c r="AH15" s="54"/>
      <c r="AI15" s="54"/>
      <c r="AJ15" s="54"/>
      <c r="AK15" s="54"/>
      <c r="AL15" s="49"/>
      <c r="AM15" s="54"/>
      <c r="AN15" s="54"/>
      <c r="AO15" s="131"/>
      <c r="AP15" s="54"/>
      <c r="AQ15" s="54"/>
      <c r="AR15" s="49"/>
      <c r="AS15" s="54"/>
      <c r="AT15" s="54"/>
    </row>
    <row r="16" spans="1:46" s="112" customFormat="1" ht="15.75">
      <c r="A16" s="55" t="s">
        <v>23</v>
      </c>
      <c r="B16" s="51">
        <f>J45/$D$3</f>
        <v>0.733898355355845</v>
      </c>
      <c r="C16" s="108">
        <f>6.5/12</f>
        <v>0.5416666666666666</v>
      </c>
      <c r="D16" s="324">
        <f>0/12</f>
        <v>0</v>
      </c>
      <c r="E16" s="333">
        <v>176.50436720333337</v>
      </c>
      <c r="F16" s="54">
        <f t="shared" si="2"/>
        <v>0.2383333333333333</v>
      </c>
      <c r="G16" s="54">
        <f t="shared" si="0"/>
        <v>0.7051282051282051</v>
      </c>
      <c r="H16" s="49">
        <f t="shared" si="3"/>
        <v>14.010119603743082</v>
      </c>
      <c r="I16" s="54">
        <f t="shared" si="1"/>
        <v>14.715247808871286</v>
      </c>
      <c r="J16" s="54">
        <f t="shared" si="4"/>
        <v>0</v>
      </c>
      <c r="K16" s="45"/>
      <c r="L16" s="54"/>
      <c r="M16" s="54"/>
      <c r="N16" s="49"/>
      <c r="O16" s="54"/>
      <c r="P16" s="54"/>
      <c r="Q16" s="45"/>
      <c r="R16" s="54"/>
      <c r="S16" s="54"/>
      <c r="T16" s="49"/>
      <c r="U16" s="54"/>
      <c r="V16" s="54"/>
      <c r="W16" s="54"/>
      <c r="X16" s="54"/>
      <c r="Y16" s="54"/>
      <c r="Z16" s="49"/>
      <c r="AA16" s="54"/>
      <c r="AB16" s="54"/>
      <c r="AC16" s="54"/>
      <c r="AD16" s="54"/>
      <c r="AE16" s="54"/>
      <c r="AF16" s="49"/>
      <c r="AG16" s="54"/>
      <c r="AH16" s="54"/>
      <c r="AI16" s="54"/>
      <c r="AJ16" s="54"/>
      <c r="AK16" s="54"/>
      <c r="AL16" s="49"/>
      <c r="AM16" s="54"/>
      <c r="AN16" s="54"/>
      <c r="AO16" s="131"/>
      <c r="AP16" s="54"/>
      <c r="AQ16" s="54"/>
      <c r="AR16" s="49"/>
      <c r="AS16" s="54"/>
      <c r="AT16" s="54"/>
    </row>
    <row r="17" spans="1:46" s="112" customFormat="1" ht="15.75">
      <c r="A17" s="55" t="s">
        <v>24</v>
      </c>
      <c r="B17" s="51">
        <f>K45/$D$3</f>
        <v>1.0413422609778884</v>
      </c>
      <c r="C17" s="108">
        <f>7.76/12</f>
        <v>0.6466666666666666</v>
      </c>
      <c r="D17" s="324">
        <f>0.26/12</f>
        <v>0.021666666666666667</v>
      </c>
      <c r="E17" s="322">
        <v>219.46117589097213</v>
      </c>
      <c r="F17" s="54">
        <f t="shared" si="2"/>
        <v>0.275</v>
      </c>
      <c r="G17" s="54">
        <f t="shared" si="0"/>
        <v>0.8136094674556213</v>
      </c>
      <c r="H17" s="49">
        <f t="shared" si="3"/>
        <v>19.87922376206789</v>
      </c>
      <c r="I17" s="54">
        <f t="shared" si="1"/>
        <v>20.69283322952351</v>
      </c>
      <c r="J17" s="54">
        <f t="shared" si="4"/>
        <v>0</v>
      </c>
      <c r="K17" s="45"/>
      <c r="L17" s="54"/>
      <c r="M17" s="54"/>
      <c r="N17" s="49"/>
      <c r="O17" s="54"/>
      <c r="P17" s="54"/>
      <c r="Q17" s="45"/>
      <c r="R17" s="54"/>
      <c r="S17" s="54"/>
      <c r="T17" s="49"/>
      <c r="U17" s="54"/>
      <c r="V17" s="54"/>
      <c r="W17" s="54"/>
      <c r="X17" s="54"/>
      <c r="Y17" s="54"/>
      <c r="Z17" s="49"/>
      <c r="AA17" s="54"/>
      <c r="AB17" s="54"/>
      <c r="AC17" s="54"/>
      <c r="AD17" s="54"/>
      <c r="AE17" s="54"/>
      <c r="AF17" s="49"/>
      <c r="AG17" s="54"/>
      <c r="AH17" s="54"/>
      <c r="AI17" s="54"/>
      <c r="AJ17" s="54"/>
      <c r="AK17" s="54"/>
      <c r="AL17" s="49"/>
      <c r="AM17" s="54"/>
      <c r="AN17" s="54"/>
      <c r="AO17" s="131"/>
      <c r="AP17" s="54"/>
      <c r="AQ17" s="54"/>
      <c r="AR17" s="49"/>
      <c r="AS17" s="54"/>
      <c r="AT17" s="54"/>
    </row>
    <row r="18" spans="1:46" s="112" customFormat="1" ht="15.75">
      <c r="A18" s="55" t="s">
        <v>25</v>
      </c>
      <c r="B18" s="51">
        <f>L45/$D$3</f>
        <v>0.5891021933532055</v>
      </c>
      <c r="C18" s="108">
        <f>5.95/12</f>
        <v>0.49583333333333335</v>
      </c>
      <c r="D18" s="324">
        <f>4.3/12</f>
        <v>0.35833333333333334</v>
      </c>
      <c r="E18" s="322">
        <v>155.73597624902777</v>
      </c>
      <c r="F18" s="54">
        <f t="shared" si="2"/>
        <v>0.060500000000000005</v>
      </c>
      <c r="G18" s="54">
        <f t="shared" si="0"/>
        <v>0.17899408284023668</v>
      </c>
      <c r="H18" s="49">
        <f t="shared" si="3"/>
        <v>11.245960871112691</v>
      </c>
      <c r="I18" s="54">
        <f t="shared" si="1"/>
        <v>11.424954953952929</v>
      </c>
      <c r="J18" s="54">
        <f t="shared" si="4"/>
        <v>0</v>
      </c>
      <c r="K18" s="45"/>
      <c r="L18" s="54"/>
      <c r="M18" s="54"/>
      <c r="N18" s="49"/>
      <c r="O18" s="54"/>
      <c r="P18" s="54"/>
      <c r="Q18" s="45"/>
      <c r="R18" s="54"/>
      <c r="S18" s="54"/>
      <c r="T18" s="49"/>
      <c r="U18" s="54"/>
      <c r="V18" s="54"/>
      <c r="W18" s="54"/>
      <c r="X18" s="54"/>
      <c r="Y18" s="54"/>
      <c r="Z18" s="49"/>
      <c r="AA18" s="54"/>
      <c r="AB18" s="54"/>
      <c r="AC18" s="54"/>
      <c r="AD18" s="54"/>
      <c r="AE18" s="54"/>
      <c r="AF18" s="49"/>
      <c r="AG18" s="54"/>
      <c r="AH18" s="54"/>
      <c r="AI18" s="54"/>
      <c r="AJ18" s="54"/>
      <c r="AK18" s="54"/>
      <c r="AL18" s="49"/>
      <c r="AM18" s="54"/>
      <c r="AN18" s="54"/>
      <c r="AO18" s="131"/>
      <c r="AP18" s="54"/>
      <c r="AQ18" s="54"/>
      <c r="AR18" s="49"/>
      <c r="AS18" s="54"/>
      <c r="AT18" s="54"/>
    </row>
    <row r="19" spans="1:46" s="112" customFormat="1" ht="15.75">
      <c r="A19" s="55" t="s">
        <v>26</v>
      </c>
      <c r="B19" s="51">
        <f>M45/$D$3</f>
        <v>0.5474485029140898</v>
      </c>
      <c r="C19" s="108">
        <f>4.94/12</f>
        <v>0.4116666666666667</v>
      </c>
      <c r="D19" s="324">
        <f>3.27/12</f>
        <v>0.2725</v>
      </c>
      <c r="E19" s="322">
        <v>81.94987296583334</v>
      </c>
      <c r="F19" s="54">
        <f t="shared" si="2"/>
        <v>0.061233333333333334</v>
      </c>
      <c r="G19" s="54">
        <f t="shared" si="0"/>
        <v>0.181163708086785</v>
      </c>
      <c r="H19" s="49">
        <f t="shared" si="3"/>
        <v>10.450791920629973</v>
      </c>
      <c r="I19" s="54">
        <f t="shared" si="1"/>
        <v>10.631955628716758</v>
      </c>
      <c r="J19" s="54">
        <f t="shared" si="4"/>
        <v>0</v>
      </c>
      <c r="K19" s="45"/>
      <c r="L19" s="54"/>
      <c r="M19" s="54"/>
      <c r="N19" s="49"/>
      <c r="O19" s="54"/>
      <c r="P19" s="54"/>
      <c r="Q19" s="45"/>
      <c r="R19" s="54"/>
      <c r="S19" s="54"/>
      <c r="T19" s="49"/>
      <c r="U19" s="54"/>
      <c r="V19" s="54"/>
      <c r="W19" s="54"/>
      <c r="X19" s="54"/>
      <c r="Y19" s="54"/>
      <c r="Z19" s="49"/>
      <c r="AA19" s="54"/>
      <c r="AB19" s="54"/>
      <c r="AC19" s="54"/>
      <c r="AD19" s="54"/>
      <c r="AE19" s="54"/>
      <c r="AF19" s="49"/>
      <c r="AG19" s="54"/>
      <c r="AH19" s="54"/>
      <c r="AI19" s="54"/>
      <c r="AJ19" s="54"/>
      <c r="AK19" s="54"/>
      <c r="AL19" s="49"/>
      <c r="AM19" s="54"/>
      <c r="AN19" s="54"/>
      <c r="AO19" s="131"/>
      <c r="AP19" s="54"/>
      <c r="AQ19" s="54"/>
      <c r="AR19" s="49"/>
      <c r="AS19" s="54"/>
      <c r="AT19" s="54"/>
    </row>
    <row r="20" spans="1:46" s="112" customFormat="1" ht="15.75">
      <c r="A20" s="55" t="s">
        <v>27</v>
      </c>
      <c r="B20" s="51">
        <f>N45/$D$3</f>
        <v>0.4621576129673295</v>
      </c>
      <c r="C20" s="108">
        <f>4.38/12</f>
        <v>0.365</v>
      </c>
      <c r="D20" s="324">
        <f>2.55/12</f>
        <v>0.2125</v>
      </c>
      <c r="E20" s="322">
        <v>91.35937417610748</v>
      </c>
      <c r="F20" s="54">
        <f t="shared" si="2"/>
        <v>0.06709999999999999</v>
      </c>
      <c r="G20" s="54">
        <f t="shared" si="0"/>
        <v>0.19852071005917157</v>
      </c>
      <c r="H20" s="49">
        <f t="shared" si="3"/>
        <v>8.82258883154632</v>
      </c>
      <c r="I20" s="54">
        <f t="shared" si="1"/>
        <v>9.02110954160549</v>
      </c>
      <c r="J20" s="54">
        <f t="shared" si="4"/>
        <v>0</v>
      </c>
      <c r="K20" s="45"/>
      <c r="L20" s="54"/>
      <c r="M20" s="54"/>
      <c r="N20" s="49"/>
      <c r="O20" s="54"/>
      <c r="P20" s="54"/>
      <c r="Q20" s="45"/>
      <c r="R20" s="54"/>
      <c r="S20" s="54"/>
      <c r="T20" s="49"/>
      <c r="U20" s="54"/>
      <c r="V20" s="54"/>
      <c r="W20" s="54"/>
      <c r="X20" s="54"/>
      <c r="Y20" s="54"/>
      <c r="Z20" s="49"/>
      <c r="AA20" s="54"/>
      <c r="AB20" s="54"/>
      <c r="AC20" s="54"/>
      <c r="AD20" s="54"/>
      <c r="AE20" s="54"/>
      <c r="AF20" s="49"/>
      <c r="AG20" s="54"/>
      <c r="AH20" s="54"/>
      <c r="AI20" s="54"/>
      <c r="AJ20" s="54"/>
      <c r="AK20" s="54"/>
      <c r="AL20" s="49"/>
      <c r="AM20" s="54"/>
      <c r="AN20" s="54"/>
      <c r="AO20" s="131"/>
      <c r="AP20" s="54"/>
      <c r="AQ20" s="54"/>
      <c r="AR20" s="49"/>
      <c r="AS20" s="54"/>
      <c r="AT20" s="54"/>
    </row>
    <row r="21" spans="1:46" s="112" customFormat="1" ht="15.75">
      <c r="A21" s="55" t="s">
        <v>28</v>
      </c>
      <c r="B21" s="51">
        <f>O45/$D$3</f>
        <v>0.25388916077175183</v>
      </c>
      <c r="C21" s="108">
        <f>3.68/12</f>
        <v>0.3066666666666667</v>
      </c>
      <c r="D21" s="324">
        <f>1.56/12</f>
        <v>0.13</v>
      </c>
      <c r="E21" s="322">
        <v>53.751403391527774</v>
      </c>
      <c r="F21" s="54">
        <f t="shared" si="2"/>
        <v>0.07773333333333335</v>
      </c>
      <c r="G21" s="54">
        <f t="shared" si="0"/>
        <v>0.2299802761341223</v>
      </c>
      <c r="H21" s="49">
        <f t="shared" si="3"/>
        <v>4.846744079132742</v>
      </c>
      <c r="I21" s="54">
        <f t="shared" si="1"/>
        <v>5.076724355266864</v>
      </c>
      <c r="J21" s="54">
        <f t="shared" si="4"/>
        <v>0</v>
      </c>
      <c r="K21" s="45"/>
      <c r="L21" s="54"/>
      <c r="M21" s="54"/>
      <c r="N21" s="49"/>
      <c r="O21" s="54"/>
      <c r="P21" s="54"/>
      <c r="Q21" s="45"/>
      <c r="R21" s="54"/>
      <c r="S21" s="54"/>
      <c r="T21" s="49"/>
      <c r="U21" s="54"/>
      <c r="V21" s="54"/>
      <c r="W21" s="54"/>
      <c r="X21" s="54"/>
      <c r="Y21" s="54"/>
      <c r="Z21" s="49"/>
      <c r="AA21" s="54"/>
      <c r="AB21" s="54"/>
      <c r="AC21" s="54"/>
      <c r="AD21" s="54"/>
      <c r="AE21" s="54"/>
      <c r="AF21" s="49"/>
      <c r="AG21" s="54"/>
      <c r="AH21" s="54"/>
      <c r="AI21" s="54"/>
      <c r="AJ21" s="54"/>
      <c r="AK21" s="54"/>
      <c r="AL21" s="49"/>
      <c r="AM21" s="54"/>
      <c r="AN21" s="54"/>
      <c r="AO21" s="131"/>
      <c r="AP21" s="54"/>
      <c r="AQ21" s="54"/>
      <c r="AR21" s="49"/>
      <c r="AS21" s="54"/>
      <c r="AT21" s="54"/>
    </row>
    <row r="22" spans="1:46" s="112" customFormat="1" ht="15.75">
      <c r="A22" s="55" t="s">
        <v>29</v>
      </c>
      <c r="B22" s="51">
        <f>P45/$D$3</f>
        <v>0.05950527205587933</v>
      </c>
      <c r="C22" s="108">
        <f>1.92/12</f>
        <v>0.16</v>
      </c>
      <c r="D22" s="324">
        <f>0.48/12</f>
        <v>0.04</v>
      </c>
      <c r="E22" s="322">
        <v>56.66063046583335</v>
      </c>
      <c r="F22" s="54">
        <f t="shared" si="2"/>
        <v>0.0528</v>
      </c>
      <c r="G22" s="54">
        <f t="shared" si="0"/>
        <v>0.15621301775147928</v>
      </c>
      <c r="H22" s="49">
        <f t="shared" si="3"/>
        <v>1.1359556435467364</v>
      </c>
      <c r="I22" s="54">
        <f t="shared" si="1"/>
        <v>1.2921686612982157</v>
      </c>
      <c r="J22" s="54">
        <f t="shared" si="4"/>
        <v>0</v>
      </c>
      <c r="K22" s="45"/>
      <c r="L22" s="54"/>
      <c r="M22" s="54"/>
      <c r="N22" s="49"/>
      <c r="O22" s="54"/>
      <c r="P22" s="54"/>
      <c r="Q22" s="45"/>
      <c r="R22" s="54"/>
      <c r="S22" s="54"/>
      <c r="T22" s="49"/>
      <c r="U22" s="54"/>
      <c r="V22" s="54"/>
      <c r="W22" s="54"/>
      <c r="X22" s="54"/>
      <c r="Y22" s="54"/>
      <c r="Z22" s="49"/>
      <c r="AA22" s="54"/>
      <c r="AB22" s="54"/>
      <c r="AC22" s="54"/>
      <c r="AD22" s="54"/>
      <c r="AE22" s="54"/>
      <c r="AF22" s="49"/>
      <c r="AG22" s="54"/>
      <c r="AH22" s="54"/>
      <c r="AI22" s="54"/>
      <c r="AJ22" s="54"/>
      <c r="AK22" s="54"/>
      <c r="AL22" s="49"/>
      <c r="AM22" s="54"/>
      <c r="AN22" s="54"/>
      <c r="AO22" s="131"/>
      <c r="AP22" s="54"/>
      <c r="AQ22" s="54"/>
      <c r="AR22" s="49"/>
      <c r="AS22" s="54"/>
      <c r="AT22" s="54"/>
    </row>
    <row r="23" spans="1:46" s="112" customFormat="1" ht="15.75">
      <c r="A23" s="55" t="s">
        <v>211</v>
      </c>
      <c r="B23" s="54">
        <f>Q45/$D$3</f>
        <v>0</v>
      </c>
      <c r="C23" s="179">
        <f>1.56/12</f>
        <v>0.13</v>
      </c>
      <c r="D23" s="339">
        <f>1/12</f>
        <v>0.08333333333333333</v>
      </c>
      <c r="E23" s="334">
        <v>1.6290900266666686</v>
      </c>
      <c r="F23" s="54">
        <f t="shared" si="2"/>
        <v>0.020533333333333337</v>
      </c>
      <c r="G23" s="54">
        <f t="shared" si="0"/>
        <v>0.06074950690335307</v>
      </c>
      <c r="H23" s="49">
        <f>F$9*$B23</f>
        <v>0</v>
      </c>
      <c r="I23" s="54">
        <f>G23+H23</f>
        <v>0.06074950690335307</v>
      </c>
      <c r="J23" s="338">
        <v>0</v>
      </c>
      <c r="L23" s="54"/>
      <c r="M23" s="54"/>
      <c r="N23" s="49"/>
      <c r="O23" s="54"/>
      <c r="P23" s="54"/>
      <c r="R23" s="54"/>
      <c r="S23" s="54"/>
      <c r="T23" s="49"/>
      <c r="U23" s="54"/>
      <c r="V23" s="54"/>
      <c r="X23" s="54"/>
      <c r="Y23" s="54"/>
      <c r="Z23" s="49"/>
      <c r="AA23" s="54"/>
      <c r="AB23" s="54"/>
      <c r="AD23" s="54"/>
      <c r="AE23" s="54"/>
      <c r="AF23" s="49"/>
      <c r="AG23" s="54"/>
      <c r="AH23" s="54"/>
      <c r="AJ23" s="54"/>
      <c r="AK23" s="54"/>
      <c r="AL23" s="121"/>
      <c r="AM23" s="54"/>
      <c r="AN23" s="54"/>
      <c r="AP23" s="54"/>
      <c r="AQ23" s="54"/>
      <c r="AR23" s="121"/>
      <c r="AS23" s="54"/>
      <c r="AT23" s="54"/>
    </row>
    <row r="24" spans="1:46" s="120" customFormat="1" ht="15.75">
      <c r="A24" s="53" t="s">
        <v>34</v>
      </c>
      <c r="B24" s="53">
        <f aca="true" t="shared" si="5" ref="B24:J24">SUM(B12:B23)</f>
        <v>4.220907297830374</v>
      </c>
      <c r="C24" s="53">
        <f t="shared" si="5"/>
        <v>4.190833333333333</v>
      </c>
      <c r="D24" s="53">
        <f t="shared" si="5"/>
        <v>1.2441666666666666</v>
      </c>
      <c r="E24" s="53">
        <f t="shared" si="5"/>
        <v>1065.1168081563853</v>
      </c>
      <c r="F24" s="53">
        <f t="shared" si="5"/>
        <v>1.2965333333333333</v>
      </c>
      <c r="G24" s="53">
        <f t="shared" si="5"/>
        <v>3.8358974358974356</v>
      </c>
      <c r="H24" s="53">
        <f t="shared" si="5"/>
        <v>80.57712031558185</v>
      </c>
      <c r="I24" s="53">
        <f t="shared" si="5"/>
        <v>84.41301775147926</v>
      </c>
      <c r="J24" s="53">
        <f t="shared" si="5"/>
        <v>0</v>
      </c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</row>
    <row r="25" spans="1:29" s="112" customFormat="1" ht="15.75">
      <c r="A25" s="247" t="s">
        <v>353</v>
      </c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T25" s="325" t="s">
        <v>345</v>
      </c>
      <c r="U25" s="288"/>
      <c r="V25" s="288"/>
      <c r="W25" s="49"/>
      <c r="AB25" s="49"/>
      <c r="AC25" s="49"/>
    </row>
    <row r="26" spans="1:46" s="237" customFormat="1" ht="18">
      <c r="A26" s="141" t="s">
        <v>35</v>
      </c>
      <c r="B26" s="142"/>
      <c r="C26" s="146"/>
      <c r="D26" s="147"/>
      <c r="E26" s="147"/>
      <c r="F26" s="382" t="s">
        <v>120</v>
      </c>
      <c r="G26" s="383"/>
      <c r="H26" s="383"/>
      <c r="I26" s="383"/>
      <c r="J26" s="383"/>
      <c r="K26" s="383"/>
      <c r="L26" s="384" t="s">
        <v>121</v>
      </c>
      <c r="M26" s="383"/>
      <c r="N26" s="383"/>
      <c r="O26" s="383"/>
      <c r="P26" s="383"/>
      <c r="Q26" s="383"/>
      <c r="R26" s="196"/>
      <c r="S26" s="385" t="s">
        <v>73</v>
      </c>
      <c r="T26" s="386"/>
      <c r="U26" s="386"/>
      <c r="V26" s="386"/>
      <c r="W26" s="386"/>
      <c r="X26" s="386"/>
      <c r="Y26" s="232"/>
      <c r="Z26" s="234"/>
      <c r="AA26" s="235"/>
      <c r="AB26" s="235"/>
      <c r="AC26" s="235"/>
      <c r="AD26" s="235"/>
      <c r="AE26" s="235"/>
      <c r="AF26" s="235"/>
      <c r="AG26" s="232"/>
      <c r="AH26" s="235"/>
      <c r="AI26" s="235"/>
      <c r="AJ26" s="235"/>
      <c r="AK26" s="236"/>
      <c r="AL26" s="236"/>
      <c r="AM26" s="236"/>
      <c r="AN26" s="236"/>
      <c r="AO26" s="236"/>
      <c r="AP26" s="236"/>
      <c r="AQ26" s="236"/>
      <c r="AR26" s="236"/>
      <c r="AS26" s="236"/>
      <c r="AT26" s="236"/>
    </row>
    <row r="27" spans="1:38" s="140" customFormat="1" ht="72.75" customHeight="1">
      <c r="A27" s="129"/>
      <c r="B27" s="129"/>
      <c r="C27" s="149" t="s">
        <v>8</v>
      </c>
      <c r="D27" s="149" t="s">
        <v>9</v>
      </c>
      <c r="E27" s="150"/>
      <c r="F27" s="116" t="s">
        <v>207</v>
      </c>
      <c r="G27" s="126" t="s">
        <v>0</v>
      </c>
      <c r="H27" s="116" t="s">
        <v>2</v>
      </c>
      <c r="I27" s="116" t="s">
        <v>3</v>
      </c>
      <c r="J27" s="116" t="s">
        <v>298</v>
      </c>
      <c r="K27" s="116" t="s">
        <v>299</v>
      </c>
      <c r="L27" s="129"/>
      <c r="M27" s="116" t="s">
        <v>209</v>
      </c>
      <c r="N27" s="126" t="s">
        <v>0</v>
      </c>
      <c r="O27" s="116" t="s">
        <v>299</v>
      </c>
      <c r="P27" s="116" t="s">
        <v>208</v>
      </c>
      <c r="Q27" s="126" t="s">
        <v>0</v>
      </c>
      <c r="S27" s="126" t="s">
        <v>122</v>
      </c>
      <c r="T27" s="116" t="s">
        <v>1</v>
      </c>
      <c r="U27" s="116" t="s">
        <v>4</v>
      </c>
      <c r="V27" s="126" t="s">
        <v>300</v>
      </c>
      <c r="W27" s="126" t="s">
        <v>123</v>
      </c>
      <c r="X27" s="126" t="s">
        <v>301</v>
      </c>
      <c r="Y27" s="116"/>
      <c r="Z27" s="126"/>
      <c r="AA27" s="116"/>
      <c r="AB27" s="116"/>
      <c r="AC27" s="126"/>
      <c r="AD27" s="126"/>
      <c r="AE27" s="126"/>
      <c r="AG27" s="83"/>
      <c r="AH27" s="4"/>
      <c r="AI27" s="37"/>
      <c r="AJ27" s="4"/>
      <c r="AK27" s="42"/>
      <c r="AL27" s="45"/>
    </row>
    <row r="28" spans="1:39" ht="15.75">
      <c r="A28" s="110" t="s">
        <v>242</v>
      </c>
      <c r="B28" s="49"/>
      <c r="C28" s="51">
        <f>B24*D3</f>
        <v>1.4266666666666665</v>
      </c>
      <c r="E28" s="54"/>
      <c r="F28" s="54">
        <f>($F9+$L9+$R9+$X9+$AD9+$AJ9)-F29</f>
        <v>19.09</v>
      </c>
      <c r="G28" s="54">
        <f>F28*$C28</f>
        <v>27.235066666666665</v>
      </c>
      <c r="H28" s="112">
        <f>H24+N24+T24+Z24+AF24+AL24</f>
        <v>80.57712031558185</v>
      </c>
      <c r="I28" s="112"/>
      <c r="J28" s="49"/>
      <c r="K28" s="49">
        <f>G28*J31</f>
        <v>0</v>
      </c>
      <c r="L28" s="112"/>
      <c r="M28" s="338">
        <v>36.13</v>
      </c>
      <c r="N28" s="54">
        <f>M28*$C28</f>
        <v>51.54546666666666</v>
      </c>
      <c r="O28" s="49">
        <f>J31*N28</f>
        <v>0</v>
      </c>
      <c r="P28" s="341">
        <v>0</v>
      </c>
      <c r="Q28" s="54">
        <f>P28*$C28</f>
        <v>0</v>
      </c>
      <c r="S28" s="112">
        <f>F28+M28+P28</f>
        <v>55.22</v>
      </c>
      <c r="T28" s="49">
        <f>G28+N28+Q28</f>
        <v>78.78053333333332</v>
      </c>
      <c r="U28" s="49">
        <f>O28+K28</f>
        <v>0</v>
      </c>
      <c r="V28" s="49">
        <f>T28-U28</f>
        <v>78.78053333333332</v>
      </c>
      <c r="W28" s="49"/>
      <c r="X28" s="49"/>
      <c r="Y28" s="112"/>
      <c r="Z28" s="112"/>
      <c r="AA28" s="46"/>
      <c r="AB28" s="49"/>
      <c r="AC28" s="49"/>
      <c r="AD28" s="49"/>
      <c r="AE28" s="49"/>
      <c r="AG28" s="49"/>
      <c r="AH28" s="114"/>
      <c r="AI28" s="114"/>
      <c r="AM28" s="49"/>
    </row>
    <row r="29" spans="1:39" ht="15.75">
      <c r="A29" s="110" t="s">
        <v>243</v>
      </c>
      <c r="B29" s="49"/>
      <c r="C29" s="112"/>
      <c r="D29" s="54"/>
      <c r="E29" s="54"/>
      <c r="F29" s="54"/>
      <c r="G29" s="54"/>
      <c r="H29" s="112"/>
      <c r="I29" s="112"/>
      <c r="J29" s="49"/>
      <c r="K29" s="49"/>
      <c r="L29" s="112"/>
      <c r="M29" s="54">
        <v>0</v>
      </c>
      <c r="N29" s="54"/>
      <c r="O29" s="49"/>
      <c r="P29" s="112">
        <v>0</v>
      </c>
      <c r="Q29" s="54"/>
      <c r="S29" s="112"/>
      <c r="T29" s="49"/>
      <c r="U29" s="49"/>
      <c r="V29" s="49"/>
      <c r="W29" s="49"/>
      <c r="X29" s="49"/>
      <c r="Y29" s="112"/>
      <c r="Z29" s="112"/>
      <c r="AA29" s="46"/>
      <c r="AB29" s="49"/>
      <c r="AC29" s="49"/>
      <c r="AD29" s="49"/>
      <c r="AE29" s="49"/>
      <c r="AG29" s="49"/>
      <c r="AH29" s="45"/>
      <c r="AI29" s="4"/>
      <c r="AJ29" s="45"/>
      <c r="AK29" s="45"/>
      <c r="AL29" s="45"/>
      <c r="AM29" s="49"/>
    </row>
    <row r="30" spans="1:39" s="45" customFormat="1" ht="15.75">
      <c r="A30" s="45" t="s">
        <v>50</v>
      </c>
      <c r="E30" s="51"/>
      <c r="F30" s="54">
        <f>F7+L7+R7+X7+AD7+AJ7</f>
        <v>0.44</v>
      </c>
      <c r="G30" s="54">
        <f>F30*($C24-$D24)</f>
        <v>1.296533333333333</v>
      </c>
      <c r="H30" s="112">
        <f>G24+M24+S24+Y24+AE24+AK24</f>
        <v>3.8358974358974356</v>
      </c>
      <c r="J30" s="49"/>
      <c r="K30" s="49">
        <f>G30*J31</f>
        <v>0</v>
      </c>
      <c r="M30" s="338">
        <v>1.02</v>
      </c>
      <c r="N30" s="54">
        <f>M30*($C24-$D24)</f>
        <v>3.0056</v>
      </c>
      <c r="O30" s="54">
        <f>J31*N30</f>
        <v>0</v>
      </c>
      <c r="P30" s="322">
        <v>0</v>
      </c>
      <c r="Q30" s="54">
        <f>P30*($C24-$D24)</f>
        <v>0</v>
      </c>
      <c r="R30" s="54"/>
      <c r="S30" s="112">
        <f>F30+M30+P30</f>
        <v>1.46</v>
      </c>
      <c r="T30" s="49">
        <f>G30+N30+Q30</f>
        <v>4.302133333333333</v>
      </c>
      <c r="U30" s="49">
        <f>O30+K30</f>
        <v>0</v>
      </c>
      <c r="V30" s="49">
        <f>T30-U30</f>
        <v>4.302133333333333</v>
      </c>
      <c r="W30" s="42"/>
      <c r="Y30" s="49"/>
      <c r="Z30" s="112"/>
      <c r="AA30" s="46"/>
      <c r="AB30" s="49"/>
      <c r="AC30" s="49"/>
      <c r="AD30" s="42"/>
      <c r="AI30" s="4"/>
      <c r="AJ30" s="51"/>
      <c r="AM30" s="49"/>
    </row>
    <row r="31" spans="1:39" ht="15.75">
      <c r="A31" s="64" t="s">
        <v>73</v>
      </c>
      <c r="B31" s="49"/>
      <c r="D31" s="54"/>
      <c r="E31" s="54"/>
      <c r="F31" s="54">
        <f>SUM(F28:F30)</f>
        <v>19.53</v>
      </c>
      <c r="G31" s="54">
        <f>SUM(G28:G30)</f>
        <v>28.531599999999997</v>
      </c>
      <c r="H31" s="54">
        <f>SUM(H28:H30)</f>
        <v>84.41301775147929</v>
      </c>
      <c r="I31" s="112">
        <f>J24+AB24</f>
        <v>0</v>
      </c>
      <c r="J31" s="53">
        <f>I31/H31</f>
        <v>0</v>
      </c>
      <c r="K31" s="54">
        <f>J31*G31</f>
        <v>0</v>
      </c>
      <c r="L31" s="112"/>
      <c r="M31" s="54">
        <f>SUM(M28:M30)</f>
        <v>37.150000000000006</v>
      </c>
      <c r="N31" s="54">
        <f>SUM(N28:N30)</f>
        <v>54.551066666666664</v>
      </c>
      <c r="O31" s="54">
        <f>SUM(O28:O30)</f>
        <v>0</v>
      </c>
      <c r="P31" s="54">
        <f>SUM(P28:P30)</f>
        <v>0</v>
      </c>
      <c r="Q31" s="54">
        <f>SUM(Q28:Q30)</f>
        <v>0</v>
      </c>
      <c r="S31" s="112">
        <f>SUM(S28:S30)</f>
        <v>56.68</v>
      </c>
      <c r="T31" s="49">
        <f>SUM(T28:T30)</f>
        <v>83.08266666666665</v>
      </c>
      <c r="U31" s="49">
        <f>SUM(U28:U30)</f>
        <v>0</v>
      </c>
      <c r="V31" s="49">
        <f>SUM(V28:V30)</f>
        <v>83.08266666666665</v>
      </c>
      <c r="W31" s="54">
        <f>(V31-Q31)*0.1+(Q31*0.02)</f>
        <v>8.308266666666666</v>
      </c>
      <c r="X31" s="49">
        <f>W31+V31</f>
        <v>91.39093333333332</v>
      </c>
      <c r="Y31" s="112"/>
      <c r="Z31" s="64"/>
      <c r="AA31" s="46"/>
      <c r="AB31" s="46"/>
      <c r="AC31" s="46"/>
      <c r="AD31" s="50"/>
      <c r="AE31" s="46"/>
      <c r="AG31" s="49"/>
      <c r="AH31" s="45"/>
      <c r="AI31" s="4"/>
      <c r="AJ31" s="54"/>
      <c r="AK31" s="45"/>
      <c r="AL31" s="37"/>
      <c r="AM31" s="49"/>
    </row>
    <row r="32" spans="1:38" ht="15.75">
      <c r="A32" s="49"/>
      <c r="B32" s="49"/>
      <c r="C32" s="112"/>
      <c r="D32" s="54"/>
      <c r="E32" s="54"/>
      <c r="F32" s="54"/>
      <c r="G32" s="54"/>
      <c r="H32" s="112"/>
      <c r="I32" s="112"/>
      <c r="J32" s="54"/>
      <c r="K32" s="54"/>
      <c r="L32" s="112"/>
      <c r="M32" s="54"/>
      <c r="N32" s="54"/>
      <c r="O32" s="49"/>
      <c r="P32" s="54"/>
      <c r="Q32" s="54"/>
      <c r="R32" s="54"/>
      <c r="S32" s="112"/>
      <c r="T32" s="112"/>
      <c r="U32" s="49"/>
      <c r="V32" s="49"/>
      <c r="W32" s="49"/>
      <c r="X32" s="46"/>
      <c r="Y32" s="49"/>
      <c r="Z32" s="49"/>
      <c r="AA32" s="49"/>
      <c r="AF32" s="49"/>
      <c r="AG32" s="49"/>
      <c r="AH32" s="94"/>
      <c r="AI32" s="4"/>
      <c r="AJ32" s="49"/>
      <c r="AK32" s="45"/>
      <c r="AL32" s="45"/>
    </row>
    <row r="33" spans="1:38" ht="15.75">
      <c r="A33" s="49" t="s">
        <v>124</v>
      </c>
      <c r="B33" s="49"/>
      <c r="C33" s="112"/>
      <c r="D33" s="54"/>
      <c r="E33" s="54"/>
      <c r="F33" s="54"/>
      <c r="G33" s="54"/>
      <c r="H33" s="112"/>
      <c r="I33" s="112"/>
      <c r="J33" s="54"/>
      <c r="K33" s="54"/>
      <c r="L33" s="112"/>
      <c r="M33" s="54"/>
      <c r="N33" s="54"/>
      <c r="O33" s="49"/>
      <c r="P33" s="54"/>
      <c r="Q33" s="54"/>
      <c r="R33" s="54"/>
      <c r="S33" s="112"/>
      <c r="T33" s="112"/>
      <c r="U33" s="49"/>
      <c r="V33" s="49"/>
      <c r="W33" s="49"/>
      <c r="X33" s="46"/>
      <c r="Y33" s="49"/>
      <c r="Z33" s="49"/>
      <c r="AG33" s="49"/>
      <c r="AH33" s="4"/>
      <c r="AI33" s="37"/>
      <c r="AJ33" s="41"/>
      <c r="AK33" s="94"/>
      <c r="AL33" s="94"/>
    </row>
    <row r="34" spans="1:18" s="36" customFormat="1" ht="15.75">
      <c r="A34" s="48" t="s">
        <v>358</v>
      </c>
      <c r="B34" s="45"/>
      <c r="C34" s="47"/>
      <c r="D34" s="47"/>
      <c r="E34" s="47"/>
      <c r="F34" s="47"/>
      <c r="G34" s="47"/>
      <c r="H34" s="47"/>
      <c r="I34" s="39"/>
      <c r="J34" s="39"/>
      <c r="K34" s="39"/>
      <c r="L34" s="45"/>
      <c r="M34" s="45"/>
      <c r="N34" s="45"/>
      <c r="O34" s="42"/>
      <c r="P34" s="45"/>
      <c r="Q34" s="45"/>
      <c r="R34" s="39"/>
    </row>
    <row r="35" spans="1:33" s="139" customFormat="1" ht="15.75">
      <c r="A35" s="143" t="s">
        <v>198</v>
      </c>
      <c r="B35" s="143"/>
      <c r="D35" s="136"/>
      <c r="E35" s="136"/>
      <c r="F35" s="136"/>
      <c r="G35" s="144"/>
      <c r="H35" s="136"/>
      <c r="I35" s="136"/>
      <c r="J35" s="136"/>
      <c r="K35" s="136"/>
      <c r="L35" s="136"/>
      <c r="M35" s="144"/>
      <c r="N35" s="136"/>
      <c r="O35" s="136"/>
      <c r="P35" s="136"/>
      <c r="Q35" s="136"/>
      <c r="R35" s="136"/>
      <c r="S35" s="144"/>
      <c r="T35" s="136"/>
      <c r="U35" s="136"/>
      <c r="V35" s="137"/>
      <c r="W35" s="137"/>
      <c r="X35" s="137"/>
      <c r="Y35" s="138"/>
      <c r="Z35" s="137"/>
      <c r="AA35" s="137"/>
      <c r="AF35" s="137"/>
      <c r="AG35" s="137"/>
    </row>
    <row r="36" spans="1:33" ht="15.75">
      <c r="A36" s="46"/>
      <c r="B36" s="46"/>
      <c r="C36" s="46"/>
      <c r="F36" s="53" t="s">
        <v>89</v>
      </c>
      <c r="G36" s="53" t="s">
        <v>90</v>
      </c>
      <c r="H36" s="53" t="s">
        <v>91</v>
      </c>
      <c r="I36" s="53" t="s">
        <v>92</v>
      </c>
      <c r="J36" s="53" t="s">
        <v>23</v>
      </c>
      <c r="K36" s="53" t="s">
        <v>93</v>
      </c>
      <c r="L36" s="53" t="s">
        <v>94</v>
      </c>
      <c r="M36" s="53" t="s">
        <v>95</v>
      </c>
      <c r="N36" s="53" t="s">
        <v>96</v>
      </c>
      <c r="O36" s="53" t="s">
        <v>97</v>
      </c>
      <c r="P36" s="53" t="s">
        <v>98</v>
      </c>
      <c r="Q36" s="53" t="s">
        <v>99</v>
      </c>
      <c r="R36" s="53" t="s">
        <v>73</v>
      </c>
      <c r="V36" s="49"/>
      <c r="W36" s="49"/>
      <c r="X36" s="49"/>
      <c r="Y36" s="52"/>
      <c r="Z36" s="49"/>
      <c r="AA36" s="49"/>
      <c r="AF36" s="49"/>
      <c r="AG36" s="49"/>
    </row>
    <row r="37" spans="1:33" ht="15.75">
      <c r="A37" s="46"/>
      <c r="B37" s="46"/>
      <c r="C37" s="46"/>
      <c r="F37" s="53"/>
      <c r="G37" s="50"/>
      <c r="H37" s="50"/>
      <c r="I37" s="53"/>
      <c r="J37" s="50"/>
      <c r="K37" s="50"/>
      <c r="L37" s="50"/>
      <c r="M37" s="50"/>
      <c r="N37" s="53"/>
      <c r="O37" s="50"/>
      <c r="P37" s="53"/>
      <c r="Q37" s="50"/>
      <c r="R37" s="53"/>
      <c r="V37" s="49"/>
      <c r="W37" s="49"/>
      <c r="X37" s="49"/>
      <c r="Y37" s="52"/>
      <c r="Z37" s="49"/>
      <c r="AA37" s="49"/>
      <c r="AF37" s="49"/>
      <c r="AG37" s="49"/>
    </row>
    <row r="38" spans="1:33" ht="15.75">
      <c r="A38" s="46" t="s">
        <v>343</v>
      </c>
      <c r="B38" s="46"/>
      <c r="C38" s="151"/>
      <c r="F38" s="322">
        <v>0</v>
      </c>
      <c r="G38" s="322">
        <v>0</v>
      </c>
      <c r="H38" s="322">
        <v>0.77</v>
      </c>
      <c r="I38" s="322">
        <v>1.92</v>
      </c>
      <c r="J38" s="322">
        <v>3.7</v>
      </c>
      <c r="K38" s="322">
        <v>5.25</v>
      </c>
      <c r="L38" s="322">
        <v>2.97</v>
      </c>
      <c r="M38" s="322">
        <v>2.76</v>
      </c>
      <c r="N38" s="322">
        <v>2.33</v>
      </c>
      <c r="O38" s="322">
        <v>1.28</v>
      </c>
      <c r="P38" s="322">
        <v>0.3</v>
      </c>
      <c r="Q38" s="322">
        <v>0</v>
      </c>
      <c r="R38" s="45">
        <f>SUM(F38:Q38)</f>
        <v>21.280000000000005</v>
      </c>
      <c r="V38" s="49"/>
      <c r="W38" s="49"/>
      <c r="X38" s="49"/>
      <c r="Y38" s="52"/>
      <c r="Z38" s="49"/>
      <c r="AA38" s="49"/>
      <c r="AB38" s="49"/>
      <c r="AC38" s="49"/>
      <c r="AD38" s="49"/>
      <c r="AE38" s="52"/>
      <c r="AF38" s="49"/>
      <c r="AG38" s="49"/>
    </row>
    <row r="39" spans="1:33" ht="15.75">
      <c r="A39" s="46" t="s">
        <v>100</v>
      </c>
      <c r="B39" s="46"/>
      <c r="C39" s="49"/>
      <c r="F39" s="45">
        <f>F38/$R38</f>
        <v>0</v>
      </c>
      <c r="G39" s="45">
        <f aca="true" t="shared" si="6" ref="G39:Q39">G38/$R38</f>
        <v>0</v>
      </c>
      <c r="H39" s="45">
        <f t="shared" si="6"/>
        <v>0.036184210526315784</v>
      </c>
      <c r="I39" s="45">
        <f t="shared" si="6"/>
        <v>0.09022556390977442</v>
      </c>
      <c r="J39" s="45">
        <f t="shared" si="6"/>
        <v>0.1738721804511278</v>
      </c>
      <c r="K39" s="45">
        <f t="shared" si="6"/>
        <v>0.2467105263157894</v>
      </c>
      <c r="L39" s="45">
        <f t="shared" si="6"/>
        <v>0.1395676691729323</v>
      </c>
      <c r="M39" s="45">
        <f t="shared" si="6"/>
        <v>0.1296992481203007</v>
      </c>
      <c r="N39" s="45">
        <f t="shared" si="6"/>
        <v>0.1094924812030075</v>
      </c>
      <c r="O39" s="45">
        <f t="shared" si="6"/>
        <v>0.060150375939849614</v>
      </c>
      <c r="P39" s="45">
        <f t="shared" si="6"/>
        <v>0.014097744360902251</v>
      </c>
      <c r="Q39" s="45">
        <f t="shared" si="6"/>
        <v>0</v>
      </c>
      <c r="R39" s="45">
        <f>SUM(F39:Q39)</f>
        <v>0.9999999999999997</v>
      </c>
      <c r="V39" s="49"/>
      <c r="W39" s="49"/>
      <c r="X39" s="49"/>
      <c r="Y39" s="52"/>
      <c r="Z39" s="49"/>
      <c r="AA39" s="49"/>
      <c r="AB39" s="49"/>
      <c r="AC39" s="49"/>
      <c r="AD39" s="49"/>
      <c r="AE39" s="52"/>
      <c r="AF39" s="49"/>
      <c r="AG39" s="49"/>
    </row>
    <row r="40" spans="1:33" ht="15.75" thickBot="1">
      <c r="A40" s="46"/>
      <c r="B40" s="46"/>
      <c r="C40" s="49"/>
      <c r="F40" s="49"/>
      <c r="G40" s="52"/>
      <c r="H40" s="49"/>
      <c r="I40" s="49"/>
      <c r="J40" s="49"/>
      <c r="K40" s="49"/>
      <c r="L40" s="49"/>
      <c r="M40" s="52"/>
      <c r="N40" s="49"/>
      <c r="O40" s="49"/>
      <c r="P40" s="49"/>
      <c r="Q40" s="49"/>
      <c r="R40" s="49"/>
      <c r="S40" s="52"/>
      <c r="T40" s="49"/>
      <c r="V40" s="49"/>
      <c r="W40" s="49"/>
      <c r="X40" s="49"/>
      <c r="Y40" s="52"/>
      <c r="Z40" s="49"/>
      <c r="AA40" s="49"/>
      <c r="AB40" s="49"/>
      <c r="AC40" s="49"/>
      <c r="AD40" s="49"/>
      <c r="AE40" s="52"/>
      <c r="AF40" s="49"/>
      <c r="AG40" s="49"/>
    </row>
    <row r="41" spans="1:33" s="137" customFormat="1" ht="15.75" thickBot="1">
      <c r="A41" s="136" t="s">
        <v>197</v>
      </c>
      <c r="B41" s="136"/>
      <c r="F41" s="340">
        <v>17.12</v>
      </c>
      <c r="G41" s="145" t="s">
        <v>10</v>
      </c>
      <c r="Z41" s="136"/>
      <c r="AA41" s="136"/>
      <c r="AB41" s="136"/>
      <c r="AC41" s="136"/>
      <c r="AD41" s="136"/>
      <c r="AE41" s="144"/>
      <c r="AF41" s="136"/>
      <c r="AG41" s="136"/>
    </row>
    <row r="42" spans="1:33" ht="15.75">
      <c r="A42" s="46"/>
      <c r="B42" s="46"/>
      <c r="C42" s="49"/>
      <c r="F42" s="53" t="s">
        <v>89</v>
      </c>
      <c r="G42" s="53" t="s">
        <v>90</v>
      </c>
      <c r="H42" s="53" t="s">
        <v>91</v>
      </c>
      <c r="I42" s="53" t="s">
        <v>92</v>
      </c>
      <c r="J42" s="53" t="s">
        <v>23</v>
      </c>
      <c r="K42" s="53" t="s">
        <v>93</v>
      </c>
      <c r="L42" s="53" t="s">
        <v>94</v>
      </c>
      <c r="M42" s="53" t="s">
        <v>95</v>
      </c>
      <c r="N42" s="53" t="s">
        <v>96</v>
      </c>
      <c r="O42" s="53" t="s">
        <v>97</v>
      </c>
      <c r="P42" s="53" t="s">
        <v>98</v>
      </c>
      <c r="Q42" s="53" t="s">
        <v>99</v>
      </c>
      <c r="R42" s="53" t="s">
        <v>73</v>
      </c>
      <c r="V42" s="49"/>
      <c r="W42" s="49"/>
      <c r="X42" s="49"/>
      <c r="Y42" s="52"/>
      <c r="Z42" s="49"/>
      <c r="AA42" s="49"/>
      <c r="AB42" s="49"/>
      <c r="AC42" s="49"/>
      <c r="AD42" s="49"/>
      <c r="AE42" s="52"/>
      <c r="AF42" s="49"/>
      <c r="AG42" s="49"/>
    </row>
    <row r="43" spans="1:33" ht="15.75">
      <c r="A43" s="46"/>
      <c r="B43" s="46"/>
      <c r="C43" s="49"/>
      <c r="F43" s="53"/>
      <c r="G43" s="50"/>
      <c r="H43" s="50"/>
      <c r="I43" s="53"/>
      <c r="J43" s="50"/>
      <c r="K43" s="50"/>
      <c r="L43" s="50"/>
      <c r="M43" s="50"/>
      <c r="N43" s="53"/>
      <c r="O43" s="50"/>
      <c r="P43" s="53"/>
      <c r="Q43" s="50"/>
      <c r="R43" s="53"/>
      <c r="V43" s="49"/>
      <c r="W43" s="49"/>
      <c r="X43" s="49"/>
      <c r="Y43" s="52"/>
      <c r="Z43" s="49"/>
      <c r="AA43" s="49"/>
      <c r="AB43" s="49"/>
      <c r="AC43" s="49"/>
      <c r="AD43" s="49"/>
      <c r="AE43" s="52"/>
      <c r="AF43" s="49"/>
      <c r="AG43" s="49"/>
    </row>
    <row r="44" spans="1:33" ht="15.75">
      <c r="A44" s="46" t="s">
        <v>7</v>
      </c>
      <c r="B44" s="46"/>
      <c r="C44" s="49"/>
      <c r="F44" s="49">
        <f>F39*$F41</f>
        <v>0</v>
      </c>
      <c r="G44" s="49">
        <f aca="true" t="shared" si="7" ref="G44:Q44">G39*$F41</f>
        <v>0</v>
      </c>
      <c r="H44" s="49">
        <f t="shared" si="7"/>
        <v>0.6194736842105263</v>
      </c>
      <c r="I44" s="49">
        <f t="shared" si="7"/>
        <v>1.5446616541353382</v>
      </c>
      <c r="J44" s="49">
        <f t="shared" si="7"/>
        <v>2.9766917293233077</v>
      </c>
      <c r="K44" s="49">
        <f t="shared" si="7"/>
        <v>4.223684210526315</v>
      </c>
      <c r="L44" s="49">
        <f t="shared" si="7"/>
        <v>2.3893984962406014</v>
      </c>
      <c r="M44" s="49">
        <f t="shared" si="7"/>
        <v>2.220451127819548</v>
      </c>
      <c r="N44" s="49">
        <f t="shared" si="7"/>
        <v>1.8745112781954885</v>
      </c>
      <c r="O44" s="49">
        <f t="shared" si="7"/>
        <v>1.0297744360902255</v>
      </c>
      <c r="P44" s="49">
        <f t="shared" si="7"/>
        <v>0.24135338345864657</v>
      </c>
      <c r="Q44" s="49">
        <f t="shared" si="7"/>
        <v>0</v>
      </c>
      <c r="R44" s="49">
        <f>SUM(F44:Q44)</f>
        <v>17.119999999999997</v>
      </c>
      <c r="V44" s="49"/>
      <c r="W44" s="49"/>
      <c r="Y44" s="52"/>
      <c r="Z44" s="49"/>
      <c r="AA44" s="49"/>
      <c r="AB44" s="49"/>
      <c r="AC44" s="49"/>
      <c r="AD44" s="49"/>
      <c r="AE44" s="52"/>
      <c r="AF44" s="49"/>
      <c r="AG44" s="49"/>
    </row>
    <row r="45" spans="1:33" ht="15.75">
      <c r="A45" s="46" t="s">
        <v>6</v>
      </c>
      <c r="B45" s="46"/>
      <c r="C45" s="49"/>
      <c r="F45" s="49">
        <f aca="true" t="shared" si="8" ref="F45:Q45">F44/12</f>
        <v>0</v>
      </c>
      <c r="G45" s="49">
        <f t="shared" si="8"/>
        <v>0</v>
      </c>
      <c r="H45" s="49">
        <f t="shared" si="8"/>
        <v>0.051622807017543855</v>
      </c>
      <c r="I45" s="49">
        <f t="shared" si="8"/>
        <v>0.12872180451127818</v>
      </c>
      <c r="J45" s="49">
        <f t="shared" si="8"/>
        <v>0.24805764411027564</v>
      </c>
      <c r="K45" s="49">
        <f t="shared" si="8"/>
        <v>0.35197368421052627</v>
      </c>
      <c r="L45" s="49">
        <f t="shared" si="8"/>
        <v>0.19911654135338344</v>
      </c>
      <c r="M45" s="49">
        <f t="shared" si="8"/>
        <v>0.18503759398496233</v>
      </c>
      <c r="N45" s="49">
        <f t="shared" si="8"/>
        <v>0.15620927318295738</v>
      </c>
      <c r="O45" s="49">
        <f t="shared" si="8"/>
        <v>0.08581453634085212</v>
      </c>
      <c r="P45" s="49">
        <f t="shared" si="8"/>
        <v>0.020112781954887214</v>
      </c>
      <c r="Q45" s="49">
        <f t="shared" si="8"/>
        <v>0</v>
      </c>
      <c r="R45" s="49">
        <f>SUM(F45:Q45)</f>
        <v>1.4266666666666663</v>
      </c>
      <c r="U45" s="112"/>
      <c r="V45" s="49"/>
      <c r="W45" s="49"/>
      <c r="X45" s="49"/>
      <c r="Y45" s="52"/>
      <c r="Z45" s="49"/>
      <c r="AA45" s="49"/>
      <c r="AB45" s="49"/>
      <c r="AC45" s="49"/>
      <c r="AD45" s="49"/>
      <c r="AE45" s="52"/>
      <c r="AF45" s="49"/>
      <c r="AG45" s="49"/>
    </row>
    <row r="51" ht="15.75">
      <c r="B51" s="112"/>
    </row>
    <row r="52" ht="15.75">
      <c r="B52" s="112"/>
    </row>
    <row r="53" ht="15.75">
      <c r="B53" s="112"/>
    </row>
    <row r="54" ht="15.75">
      <c r="B54" s="112"/>
    </row>
    <row r="55" ht="15.75">
      <c r="B55" s="112"/>
    </row>
    <row r="56" ht="15.75">
      <c r="B56" s="112"/>
    </row>
    <row r="57" ht="15.75">
      <c r="B57" s="112"/>
    </row>
    <row r="58" ht="15.75">
      <c r="B58" s="112"/>
    </row>
    <row r="59" ht="15.75">
      <c r="B59" s="112"/>
    </row>
    <row r="60" ht="15.75">
      <c r="B60" s="112"/>
    </row>
    <row r="61" ht="15.75">
      <c r="B61" s="112"/>
    </row>
    <row r="62" ht="15.75">
      <c r="B62" s="112"/>
    </row>
  </sheetData>
  <sheetProtection password="CC93" sheet="1" objects="1" scenarios="1"/>
  <mergeCells count="11">
    <mergeCell ref="AJ6:AN6"/>
    <mergeCell ref="AP6:AT6"/>
    <mergeCell ref="A3:C3"/>
    <mergeCell ref="E6:J6"/>
    <mergeCell ref="L6:P6"/>
    <mergeCell ref="R6:V6"/>
    <mergeCell ref="S26:X26"/>
    <mergeCell ref="X6:AB6"/>
    <mergeCell ref="AD6:AH6"/>
    <mergeCell ref="F26:K26"/>
    <mergeCell ref="L26:Q26"/>
  </mergeCells>
  <printOptions gridLines="1" horizontalCentered="1"/>
  <pageMargins left="0.75" right="0.25" top="0.75" bottom="0.75" header="0.5" footer="0.5"/>
  <pageSetup fitToHeight="1" fitToWidth="1" horizontalDpi="600" verticalDpi="600" orientation="landscape" paperSize="17" scale="75" r:id="rId3"/>
  <headerFooter alignWithMargins="0">
    <oddHeader>&amp;L&amp;D</oddHeader>
    <oddFooter>&amp;L&amp;F&amp;R&amp;A</oddFooter>
  </headerFooter>
  <colBreaks count="1" manualBreakCount="1">
    <brk id="46" max="6553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62"/>
  <sheetViews>
    <sheetView zoomScale="75" zoomScaleNormal="75" zoomScaleSheetLayoutView="75" zoomScalePageLayoutView="0" workbookViewId="0" topLeftCell="A1">
      <selection activeCell="A7" sqref="A7"/>
    </sheetView>
  </sheetViews>
  <sheetFormatPr defaultColWidth="9.140625" defaultRowHeight="12.75"/>
  <cols>
    <col min="1" max="1" width="28.28125" style="110" customWidth="1"/>
    <col min="2" max="16" width="10.57421875" style="110" customWidth="1"/>
    <col min="17" max="17" width="11.140625" style="110" bestFit="1" customWidth="1"/>
    <col min="18" max="24" width="10.57421875" style="110" customWidth="1"/>
    <col min="25" max="25" width="8.7109375" style="110" customWidth="1"/>
    <col min="26" max="26" width="10.8515625" style="110" bestFit="1" customWidth="1"/>
    <col min="27" max="27" width="11.57421875" style="110" customWidth="1"/>
    <col min="28" max="28" width="9.57421875" style="110" bestFit="1" customWidth="1"/>
    <col min="29" max="29" width="10.8515625" style="110" customWidth="1"/>
    <col min="30" max="30" width="9.8515625" style="110" bestFit="1" customWidth="1"/>
    <col min="31" max="31" width="10.140625" style="110" customWidth="1"/>
    <col min="32" max="33" width="9.8515625" style="110" bestFit="1" customWidth="1"/>
    <col min="34" max="34" width="9.28125" style="110" customWidth="1"/>
    <col min="35" max="35" width="15.7109375" style="110" customWidth="1"/>
    <col min="36" max="36" width="7.140625" style="110" bestFit="1" customWidth="1"/>
    <col min="37" max="37" width="8.7109375" style="110" customWidth="1"/>
    <col min="38" max="38" width="8.7109375" style="110" bestFit="1" customWidth="1"/>
    <col min="39" max="39" width="8.57421875" style="110" bestFit="1" customWidth="1"/>
    <col min="40" max="40" width="9.57421875" style="110" customWidth="1"/>
    <col min="41" max="207" width="9.7109375" style="110" customWidth="1"/>
    <col min="208" max="16384" width="9.140625" style="110" customWidth="1"/>
  </cols>
  <sheetData>
    <row r="1" spans="1:33" ht="18">
      <c r="A1" s="60" t="s">
        <v>269</v>
      </c>
      <c r="B1" s="49" t="s">
        <v>266</v>
      </c>
      <c r="C1" s="49"/>
      <c r="D1" s="49"/>
      <c r="E1" s="49"/>
      <c r="F1" s="49"/>
      <c r="G1" s="52"/>
      <c r="H1" s="49"/>
      <c r="I1" s="49"/>
      <c r="J1" s="49"/>
      <c r="K1" s="49"/>
      <c r="L1" s="49"/>
      <c r="M1" s="52"/>
      <c r="O1" s="46"/>
      <c r="P1" s="46"/>
      <c r="Q1" s="46"/>
      <c r="R1" s="49"/>
      <c r="S1" s="52"/>
      <c r="T1" s="49"/>
      <c r="U1" s="49"/>
      <c r="V1" s="49"/>
      <c r="W1" s="49"/>
      <c r="X1" s="49"/>
      <c r="Y1" s="52"/>
      <c r="Z1" s="49"/>
      <c r="AA1" s="49"/>
      <c r="AB1" s="49"/>
      <c r="AC1" s="49"/>
      <c r="AD1" s="49"/>
      <c r="AE1" s="52"/>
      <c r="AF1" s="49"/>
      <c r="AG1" s="49"/>
    </row>
    <row r="2" spans="1:45" s="112" customFormat="1" ht="16.5" customHeight="1">
      <c r="A2" s="46" t="s">
        <v>264</v>
      </c>
      <c r="B2" s="46"/>
      <c r="C2" s="128"/>
      <c r="D2" s="123"/>
      <c r="E2" s="123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61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</row>
    <row r="3" spans="1:30" s="45" customFormat="1" ht="18">
      <c r="A3" s="389" t="s">
        <v>167</v>
      </c>
      <c r="B3" s="389"/>
      <c r="C3" s="389"/>
      <c r="D3" s="4">
        <v>0.41</v>
      </c>
      <c r="E3" s="45" t="s">
        <v>171</v>
      </c>
      <c r="P3" s="42"/>
      <c r="T3" s="42"/>
      <c r="Y3" s="42"/>
      <c r="AB3" s="4"/>
      <c r="AD3" s="54"/>
    </row>
    <row r="4" spans="1:33" ht="18">
      <c r="A4" s="117" t="s">
        <v>210</v>
      </c>
      <c r="B4" s="117"/>
      <c r="C4" s="112"/>
      <c r="F4" s="46"/>
      <c r="G4" s="50"/>
      <c r="H4" s="46"/>
      <c r="I4" s="46"/>
      <c r="J4" s="46"/>
      <c r="K4" s="46"/>
      <c r="L4" s="46"/>
      <c r="M4" s="50"/>
      <c r="N4" s="46"/>
      <c r="O4" s="46"/>
      <c r="P4" s="46"/>
      <c r="Q4" s="46"/>
      <c r="R4" s="46"/>
      <c r="S4" s="50"/>
      <c r="T4" s="46"/>
      <c r="U4" s="46"/>
      <c r="V4" s="49"/>
      <c r="W4" s="49"/>
      <c r="X4" s="49"/>
      <c r="Y4" s="52"/>
      <c r="Z4" s="46"/>
      <c r="AG4" s="49"/>
    </row>
    <row r="5" spans="1:41" s="61" customFormat="1" ht="18">
      <c r="A5" s="133" t="s">
        <v>194</v>
      </c>
      <c r="B5" s="133"/>
      <c r="C5" s="111"/>
      <c r="D5" s="111"/>
      <c r="E5" s="111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19"/>
      <c r="AH5" s="111"/>
      <c r="AI5" s="111"/>
      <c r="AJ5" s="111"/>
      <c r="AK5" s="111"/>
      <c r="AL5" s="111"/>
      <c r="AM5" s="111"/>
      <c r="AN5" s="111"/>
      <c r="AO5" s="111"/>
    </row>
    <row r="6" spans="1:49" s="49" customFormat="1" ht="15.75" customHeight="1">
      <c r="A6" s="50"/>
      <c r="B6" s="50"/>
      <c r="D6" s="50"/>
      <c r="E6" s="390" t="s">
        <v>223</v>
      </c>
      <c r="F6" s="391"/>
      <c r="G6" s="391"/>
      <c r="H6" s="391"/>
      <c r="I6" s="391"/>
      <c r="J6" s="391"/>
      <c r="K6" s="394" t="s">
        <v>224</v>
      </c>
      <c r="L6" s="394"/>
      <c r="M6" s="394"/>
      <c r="N6" s="394"/>
      <c r="O6" s="394"/>
      <c r="P6" s="394"/>
      <c r="Q6" s="395" t="s">
        <v>225</v>
      </c>
      <c r="R6" s="395"/>
      <c r="S6" s="395"/>
      <c r="T6" s="395"/>
      <c r="U6" s="395"/>
      <c r="V6" s="395"/>
      <c r="W6" s="73"/>
      <c r="X6" s="305"/>
      <c r="Y6" s="306"/>
      <c r="Z6" s="306"/>
      <c r="AA6" s="306"/>
      <c r="AB6" s="306"/>
      <c r="AC6" s="73"/>
      <c r="AD6" s="387"/>
      <c r="AE6" s="388"/>
      <c r="AF6" s="388"/>
      <c r="AG6" s="388"/>
      <c r="AH6" s="388"/>
      <c r="AI6" s="73"/>
      <c r="AJ6" s="387"/>
      <c r="AK6" s="388"/>
      <c r="AL6" s="388"/>
      <c r="AM6" s="388"/>
      <c r="AN6" s="388"/>
      <c r="AO6" s="73"/>
      <c r="AP6" s="387"/>
      <c r="AQ6" s="388"/>
      <c r="AR6" s="388"/>
      <c r="AS6" s="388"/>
      <c r="AT6" s="388"/>
      <c r="AU6" s="61"/>
      <c r="AV6" s="61"/>
      <c r="AW6" s="61"/>
    </row>
    <row r="7" spans="6:48" s="122" customFormat="1" ht="15">
      <c r="F7" s="338">
        <v>0.07</v>
      </c>
      <c r="G7" s="115" t="s">
        <v>191</v>
      </c>
      <c r="H7" s="115"/>
      <c r="I7" s="115"/>
      <c r="L7" s="338">
        <v>1.95</v>
      </c>
      <c r="M7" s="115" t="s">
        <v>191</v>
      </c>
      <c r="N7" s="115"/>
      <c r="O7" s="115"/>
      <c r="R7" s="338">
        <v>2.96</v>
      </c>
      <c r="S7" s="115" t="s">
        <v>191</v>
      </c>
      <c r="T7" s="115"/>
      <c r="U7" s="115"/>
      <c r="W7" s="54">
        <v>8</v>
      </c>
      <c r="X7" s="54"/>
      <c r="AA7" s="115"/>
      <c r="AD7" s="54"/>
      <c r="AE7" s="115"/>
      <c r="AF7" s="115"/>
      <c r="AG7" s="115"/>
      <c r="AJ7" s="54"/>
      <c r="AK7" s="115"/>
      <c r="AL7" s="115"/>
      <c r="AM7" s="115"/>
      <c r="AP7" s="54"/>
      <c r="AQ7" s="115"/>
      <c r="AR7" s="115"/>
      <c r="AS7" s="115"/>
      <c r="AV7" s="115"/>
    </row>
    <row r="8" spans="6:48" s="122" customFormat="1" ht="15">
      <c r="F8" s="54">
        <v>0</v>
      </c>
      <c r="G8" s="115" t="s">
        <v>212</v>
      </c>
      <c r="H8" s="115"/>
      <c r="I8" s="115"/>
      <c r="L8" s="54">
        <v>0</v>
      </c>
      <c r="M8" s="115" t="s">
        <v>212</v>
      </c>
      <c r="N8" s="115"/>
      <c r="O8" s="115"/>
      <c r="R8" s="54">
        <v>0</v>
      </c>
      <c r="S8" s="115" t="s">
        <v>212</v>
      </c>
      <c r="T8" s="115"/>
      <c r="U8" s="115"/>
      <c r="W8" s="396" t="s">
        <v>316</v>
      </c>
      <c r="X8" s="401"/>
      <c r="AA8" s="115"/>
      <c r="AD8" s="54"/>
      <c r="AE8" s="115"/>
      <c r="AF8" s="115"/>
      <c r="AG8" s="115"/>
      <c r="AJ8" s="54"/>
      <c r="AK8" s="115"/>
      <c r="AL8" s="115"/>
      <c r="AM8" s="115"/>
      <c r="AP8" s="54"/>
      <c r="AQ8" s="115"/>
      <c r="AR8" s="115"/>
      <c r="AS8" s="115"/>
      <c r="AV8" s="112"/>
    </row>
    <row r="9" spans="3:29" s="112" customFormat="1" ht="15">
      <c r="C9" s="130"/>
      <c r="D9" s="49"/>
      <c r="E9" s="49"/>
      <c r="F9" s="341">
        <v>361.71</v>
      </c>
      <c r="G9" s="112" t="s">
        <v>200</v>
      </c>
      <c r="J9" s="49"/>
      <c r="K9" s="49"/>
      <c r="L9" s="324">
        <v>505.43</v>
      </c>
      <c r="M9" s="112" t="s">
        <v>200</v>
      </c>
      <c r="P9" s="49"/>
      <c r="Q9" s="49"/>
      <c r="R9" s="338">
        <v>534.39</v>
      </c>
      <c r="S9" s="112" t="s">
        <v>200</v>
      </c>
      <c r="V9" s="49"/>
      <c r="W9" s="401"/>
      <c r="X9" s="401"/>
      <c r="AB9" s="49"/>
      <c r="AC9" s="49"/>
    </row>
    <row r="10" spans="3:43" s="112" customFormat="1" ht="15">
      <c r="C10" s="130"/>
      <c r="F10" s="54">
        <f>SUM(F7:F9)</f>
        <v>361.78</v>
      </c>
      <c r="G10" s="49" t="s">
        <v>201</v>
      </c>
      <c r="H10" s="49"/>
      <c r="I10" s="49"/>
      <c r="L10" s="54">
        <f>SUM(L7:L9)</f>
        <v>507.38</v>
      </c>
      <c r="M10" s="49" t="s">
        <v>201</v>
      </c>
      <c r="N10" s="49"/>
      <c r="O10" s="49"/>
      <c r="R10" s="54">
        <f>SUM(R7:R9)</f>
        <v>537.35</v>
      </c>
      <c r="S10" s="49" t="s">
        <v>201</v>
      </c>
      <c r="T10" s="49"/>
      <c r="U10" s="49"/>
      <c r="W10" s="401"/>
      <c r="X10" s="401"/>
      <c r="Z10" s="49"/>
      <c r="AA10" s="49"/>
      <c r="AD10" s="54"/>
      <c r="AE10" s="49"/>
      <c r="AF10" s="49"/>
      <c r="AJ10" s="54"/>
      <c r="AK10" s="49"/>
      <c r="AP10" s="54"/>
      <c r="AQ10" s="49"/>
    </row>
    <row r="11" spans="1:46" s="127" customFormat="1" ht="93.75" customHeight="1">
      <c r="A11" s="125" t="s">
        <v>88</v>
      </c>
      <c r="B11" s="50" t="s">
        <v>265</v>
      </c>
      <c r="C11" s="124" t="s">
        <v>206</v>
      </c>
      <c r="D11" s="126" t="s">
        <v>196</v>
      </c>
      <c r="E11" s="125" t="s">
        <v>19</v>
      </c>
      <c r="F11" s="126" t="s">
        <v>362</v>
      </c>
      <c r="G11" s="126" t="s">
        <v>217</v>
      </c>
      <c r="H11" s="126" t="s">
        <v>192</v>
      </c>
      <c r="I11" s="126" t="s">
        <v>195</v>
      </c>
      <c r="J11" s="124" t="s">
        <v>297</v>
      </c>
      <c r="K11" s="125" t="s">
        <v>19</v>
      </c>
      <c r="L11" s="126" t="s">
        <v>362</v>
      </c>
      <c r="M11" s="126" t="s">
        <v>217</v>
      </c>
      <c r="N11" s="126" t="s">
        <v>192</v>
      </c>
      <c r="O11" s="126" t="s">
        <v>195</v>
      </c>
      <c r="P11" s="124" t="s">
        <v>297</v>
      </c>
      <c r="Q11" s="125" t="s">
        <v>19</v>
      </c>
      <c r="R11" s="126" t="s">
        <v>362</v>
      </c>
      <c r="S11" s="126" t="s">
        <v>217</v>
      </c>
      <c r="T11" s="126" t="s">
        <v>192</v>
      </c>
      <c r="U11" s="126" t="s">
        <v>195</v>
      </c>
      <c r="V11" s="124" t="s">
        <v>297</v>
      </c>
      <c r="W11" s="402" t="s">
        <v>323</v>
      </c>
      <c r="X11" s="402"/>
      <c r="Z11" s="126"/>
      <c r="AA11" s="126"/>
      <c r="AB11" s="124"/>
      <c r="AC11" s="125"/>
      <c r="AD11" s="126"/>
      <c r="AE11" s="126"/>
      <c r="AF11" s="126"/>
      <c r="AG11" s="126"/>
      <c r="AH11" s="124"/>
      <c r="AI11" s="125"/>
      <c r="AJ11" s="126"/>
      <c r="AK11" s="126"/>
      <c r="AL11" s="126"/>
      <c r="AM11" s="126"/>
      <c r="AN11" s="124"/>
      <c r="AO11" s="125"/>
      <c r="AP11" s="126"/>
      <c r="AQ11" s="126"/>
      <c r="AR11" s="126"/>
      <c r="AS11" s="126"/>
      <c r="AT11" s="124"/>
    </row>
    <row r="12" spans="1:46" s="127" customFormat="1" ht="15.75" customHeight="1">
      <c r="A12" s="55" t="s">
        <v>180</v>
      </c>
      <c r="B12" s="54">
        <f>F46/$D$3</f>
        <v>0.02356338693647458</v>
      </c>
      <c r="C12" s="179">
        <f>2.21/12</f>
        <v>0.18416666666666667</v>
      </c>
      <c r="D12" s="338">
        <f>0/12</f>
        <v>0</v>
      </c>
      <c r="E12" s="126"/>
      <c r="F12" s="54">
        <f aca="true" t="shared" si="0" ref="F12:F23">$F$7*(IF($C12-$D12&lt;0,0,ABS($C12-$D12)))</f>
        <v>0.012891666666666668</v>
      </c>
      <c r="G12" s="54">
        <f aca="true" t="shared" si="1" ref="G12:G23">F12/$D$3</f>
        <v>0.031443089430894314</v>
      </c>
      <c r="H12" s="49">
        <f>F$9*$B12</f>
        <v>8.52311268879222</v>
      </c>
      <c r="I12" s="54">
        <f>G12+H12</f>
        <v>8.554555778223115</v>
      </c>
      <c r="J12" s="338">
        <v>0</v>
      </c>
      <c r="K12" s="50"/>
      <c r="L12" s="54">
        <f aca="true" t="shared" si="2" ref="L12:L23">$L$7*(IF($C12-$D12&lt;0,0,ABS($C12-$D12)))</f>
        <v>0.359125</v>
      </c>
      <c r="M12" s="54">
        <f aca="true" t="shared" si="3" ref="M12:M23">L12/$D$3</f>
        <v>0.8759146341463416</v>
      </c>
      <c r="N12" s="49">
        <f>L$9*$B12</f>
        <v>11.909642659302348</v>
      </c>
      <c r="O12" s="54">
        <f>M12+N12</f>
        <v>12.78555729344869</v>
      </c>
      <c r="P12" s="338">
        <v>0</v>
      </c>
      <c r="Q12" s="50"/>
      <c r="R12" s="54">
        <f>R$7*(IF($C12-$D12&lt;0,0,ABS($C12-$D12)))</f>
        <v>0.5451333333333334</v>
      </c>
      <c r="S12" s="54">
        <f aca="true" t="shared" si="4" ref="S12:S23">R12/$D$3</f>
        <v>1.3295934959349596</v>
      </c>
      <c r="T12" s="49">
        <f>R$9*$B12</f>
        <v>12.592038344982651</v>
      </c>
      <c r="U12" s="54">
        <f>S12+T12</f>
        <v>13.92163184091761</v>
      </c>
      <c r="V12" s="338">
        <v>0</v>
      </c>
      <c r="W12" s="54">
        <f>W$7*(IF($C12-$D12&lt;0,0,ABS($C12-$D12)))</f>
        <v>1.4733333333333334</v>
      </c>
      <c r="X12" s="54"/>
      <c r="Z12" s="49"/>
      <c r="AA12" s="54"/>
      <c r="AB12" s="54"/>
      <c r="AC12" s="50"/>
      <c r="AD12" s="54"/>
      <c r="AE12" s="54"/>
      <c r="AF12" s="49"/>
      <c r="AG12" s="54"/>
      <c r="AH12" s="54"/>
      <c r="AI12" s="50"/>
      <c r="AJ12" s="126"/>
      <c r="AK12" s="126"/>
      <c r="AL12" s="126"/>
      <c r="AM12" s="126"/>
      <c r="AN12" s="124"/>
      <c r="AO12" s="50"/>
      <c r="AP12" s="126"/>
      <c r="AQ12" s="126"/>
      <c r="AR12" s="126"/>
      <c r="AS12" s="126"/>
      <c r="AT12" s="124"/>
    </row>
    <row r="13" spans="1:46" s="112" customFormat="1" ht="15.75">
      <c r="A13" s="55" t="s">
        <v>21</v>
      </c>
      <c r="B13" s="51">
        <f>G46/$D$3</f>
        <v>0.13956775339296482</v>
      </c>
      <c r="C13" s="108">
        <f>2.92/12</f>
        <v>0.24333333333333332</v>
      </c>
      <c r="D13" s="324">
        <f>0.08/12</f>
        <v>0.006666666666666667</v>
      </c>
      <c r="E13" s="54"/>
      <c r="F13" s="54">
        <f t="shared" si="0"/>
        <v>0.016566666666666667</v>
      </c>
      <c r="G13" s="54">
        <f t="shared" si="1"/>
        <v>0.040406504065040656</v>
      </c>
      <c r="H13" s="49">
        <f>F$9*$B13</f>
        <v>50.4830520797693</v>
      </c>
      <c r="I13" s="54">
        <f aca="true" t="shared" si="5" ref="I13:I22">G13+H13</f>
        <v>50.52345858383434</v>
      </c>
      <c r="J13" s="338">
        <v>0</v>
      </c>
      <c r="K13" s="49"/>
      <c r="L13" s="54">
        <f t="shared" si="2"/>
        <v>0.46149999999999997</v>
      </c>
      <c r="M13" s="54">
        <f t="shared" si="3"/>
        <v>1.1256097560975609</v>
      </c>
      <c r="N13" s="49">
        <f>L$9*$B13</f>
        <v>70.5417295974062</v>
      </c>
      <c r="O13" s="54">
        <f aca="true" t="shared" si="6" ref="O13:O22">M13+N13</f>
        <v>71.66733935350376</v>
      </c>
      <c r="P13" s="338">
        <v>0</v>
      </c>
      <c r="Q13" s="49"/>
      <c r="R13" s="54">
        <f>R$7*(IF($C13-$D13&lt;0,0,ABS($C13-$D13)))</f>
        <v>0.7005333333333333</v>
      </c>
      <c r="S13" s="54">
        <f t="shared" si="4"/>
        <v>1.708617886178862</v>
      </c>
      <c r="T13" s="49">
        <f aca="true" t="shared" si="7" ref="T13:T22">R$9*$B13</f>
        <v>74.58361173566647</v>
      </c>
      <c r="U13" s="54">
        <f aca="true" t="shared" si="8" ref="U13:U22">S13+T13</f>
        <v>76.29222962184532</v>
      </c>
      <c r="V13" s="338">
        <v>0</v>
      </c>
      <c r="W13" s="54">
        <f aca="true" t="shared" si="9" ref="W13:W22">W$7*(IF($C13-$D13&lt;0,0,ABS($C13-$D13)))</f>
        <v>1.8933333333333333</v>
      </c>
      <c r="X13" s="54"/>
      <c r="Z13" s="49"/>
      <c r="AA13" s="54"/>
      <c r="AB13" s="54"/>
      <c r="AC13" s="49"/>
      <c r="AD13" s="54"/>
      <c r="AE13" s="54"/>
      <c r="AF13" s="49"/>
      <c r="AG13" s="54"/>
      <c r="AH13" s="54"/>
      <c r="AI13" s="54"/>
      <c r="AJ13" s="54"/>
      <c r="AK13" s="54"/>
      <c r="AL13" s="49"/>
      <c r="AM13" s="54"/>
      <c r="AN13" s="54"/>
      <c r="AO13" s="131"/>
      <c r="AP13" s="54"/>
      <c r="AQ13" s="54"/>
      <c r="AR13" s="49"/>
      <c r="AS13" s="54"/>
      <c r="AT13" s="54"/>
    </row>
    <row r="14" spans="1:46" s="112" customFormat="1" ht="15.75">
      <c r="A14" s="55" t="s">
        <v>20</v>
      </c>
      <c r="B14" s="51">
        <f>H46/$D$3</f>
        <v>0.1848819590400313</v>
      </c>
      <c r="C14" s="108">
        <f>6.12/12</f>
        <v>0.51</v>
      </c>
      <c r="D14" s="324">
        <f>0.99/12</f>
        <v>0.0825</v>
      </c>
      <c r="E14" s="332">
        <v>556.3072337069574</v>
      </c>
      <c r="F14" s="54">
        <f t="shared" si="0"/>
        <v>0.029925000000000004</v>
      </c>
      <c r="G14" s="54">
        <f t="shared" si="1"/>
        <v>0.07298780487804879</v>
      </c>
      <c r="H14" s="49">
        <f>F$9*$B14</f>
        <v>66.87365340436972</v>
      </c>
      <c r="I14" s="54">
        <f t="shared" si="5"/>
        <v>66.94664120924777</v>
      </c>
      <c r="J14" s="54">
        <f aca="true" t="shared" si="10" ref="J14:J22">IF(E14-I14&gt;0,0,ABS(E14-I14))</f>
        <v>0</v>
      </c>
      <c r="K14" s="332">
        <v>1170.1327892649063</v>
      </c>
      <c r="L14" s="54">
        <f t="shared" si="2"/>
        <v>0.833625</v>
      </c>
      <c r="M14" s="54">
        <f t="shared" si="3"/>
        <v>2.033231707317073</v>
      </c>
      <c r="N14" s="49">
        <f>L$9*$B14</f>
        <v>93.44488855760302</v>
      </c>
      <c r="O14" s="54">
        <f t="shared" si="6"/>
        <v>95.4781202649201</v>
      </c>
      <c r="P14" s="54">
        <f>IF(K14-O14&gt;0,0,ABS(K14-O14))</f>
        <v>0</v>
      </c>
      <c r="Q14" s="321">
        <v>831.187933611343</v>
      </c>
      <c r="R14" s="54">
        <f>R$7*(IF($C14-$D14&lt;0,0,ABS($C14-$D14)))</f>
        <v>1.2653999999999999</v>
      </c>
      <c r="S14" s="54">
        <f t="shared" si="4"/>
        <v>3.086341463414634</v>
      </c>
      <c r="T14" s="49">
        <f t="shared" si="7"/>
        <v>98.79907009140233</v>
      </c>
      <c r="U14" s="54">
        <f t="shared" si="8"/>
        <v>101.88541155481695</v>
      </c>
      <c r="V14" s="54">
        <f aca="true" t="shared" si="11" ref="V14:V22">IF(Q14-U14&gt;0,0,ABS(Q14-U14))</f>
        <v>0</v>
      </c>
      <c r="W14" s="54">
        <f t="shared" si="9"/>
        <v>3.42</v>
      </c>
      <c r="X14" s="54"/>
      <c r="Z14" s="49"/>
      <c r="AA14" s="54"/>
      <c r="AB14" s="54"/>
      <c r="AC14" s="54"/>
      <c r="AD14" s="54"/>
      <c r="AE14" s="54"/>
      <c r="AF14" s="49"/>
      <c r="AG14" s="54"/>
      <c r="AH14" s="54"/>
      <c r="AI14" s="54"/>
      <c r="AJ14" s="54"/>
      <c r="AK14" s="54"/>
      <c r="AL14" s="49"/>
      <c r="AM14" s="54"/>
      <c r="AN14" s="54"/>
      <c r="AO14" s="131"/>
      <c r="AP14" s="54"/>
      <c r="AQ14" s="54"/>
      <c r="AR14" s="49"/>
      <c r="AS14" s="54"/>
      <c r="AT14" s="54"/>
    </row>
    <row r="15" spans="1:46" s="112" customFormat="1" ht="15.75">
      <c r="A15" s="55" t="s">
        <v>22</v>
      </c>
      <c r="B15" s="51">
        <f>I46/$D$3</f>
        <v>0.48758085276243546</v>
      </c>
      <c r="C15" s="108">
        <f>7.97/12</f>
        <v>0.6641666666666667</v>
      </c>
      <c r="D15" s="324">
        <f>0.08/12</f>
        <v>0.006666666666666667</v>
      </c>
      <c r="E15" s="322">
        <v>671.9500450760312</v>
      </c>
      <c r="F15" s="54">
        <f t="shared" si="0"/>
        <v>0.046025</v>
      </c>
      <c r="G15" s="54">
        <f t="shared" si="1"/>
        <v>0.11225609756097563</v>
      </c>
      <c r="H15" s="49">
        <f aca="true" t="shared" si="12" ref="H15:H22">F$9*$B15</f>
        <v>176.36287025270053</v>
      </c>
      <c r="I15" s="54">
        <f t="shared" si="5"/>
        <v>176.47512635026152</v>
      </c>
      <c r="J15" s="54">
        <f t="shared" si="10"/>
        <v>0</v>
      </c>
      <c r="K15" s="322">
        <v>1590.7330963114757</v>
      </c>
      <c r="L15" s="54">
        <f t="shared" si="2"/>
        <v>1.282125</v>
      </c>
      <c r="M15" s="54">
        <f t="shared" si="3"/>
        <v>3.1271341463414637</v>
      </c>
      <c r="N15" s="49">
        <f aca="true" t="shared" si="13" ref="N15:N22">L$9*$B15</f>
        <v>246.43799041171775</v>
      </c>
      <c r="O15" s="54">
        <f t="shared" si="6"/>
        <v>249.5651245580592</v>
      </c>
      <c r="P15" s="54">
        <f aca="true" t="shared" si="14" ref="P15:P22">IF(K15-O15&gt;0,0,ABS(K15-O15))</f>
        <v>0</v>
      </c>
      <c r="Q15" s="322">
        <v>1538.8053648270834</v>
      </c>
      <c r="R15" s="54">
        <f aca="true" t="shared" si="15" ref="R15:R22">R$7*(IF($C15-$D15&lt;0,0,ABS($C15-$D15)))</f>
        <v>1.9462</v>
      </c>
      <c r="S15" s="54">
        <f t="shared" si="4"/>
        <v>4.746829268292683</v>
      </c>
      <c r="T15" s="49">
        <f t="shared" si="7"/>
        <v>260.5583319077179</v>
      </c>
      <c r="U15" s="54">
        <f t="shared" si="8"/>
        <v>265.3051611760106</v>
      </c>
      <c r="V15" s="54">
        <f t="shared" si="11"/>
        <v>0</v>
      </c>
      <c r="W15" s="54">
        <f t="shared" si="9"/>
        <v>5.26</v>
      </c>
      <c r="X15" s="54"/>
      <c r="Z15" s="49"/>
      <c r="AA15" s="54"/>
      <c r="AB15" s="54"/>
      <c r="AC15" s="54"/>
      <c r="AD15" s="54"/>
      <c r="AE15" s="54"/>
      <c r="AF15" s="49"/>
      <c r="AG15" s="54"/>
      <c r="AH15" s="54"/>
      <c r="AI15" s="54"/>
      <c r="AJ15" s="54"/>
      <c r="AK15" s="54"/>
      <c r="AL15" s="49"/>
      <c r="AM15" s="54"/>
      <c r="AN15" s="54"/>
      <c r="AO15" s="131"/>
      <c r="AP15" s="54"/>
      <c r="AQ15" s="54"/>
      <c r="AR15" s="49"/>
      <c r="AS15" s="54"/>
      <c r="AT15" s="54"/>
    </row>
    <row r="16" spans="1:46" s="112" customFormat="1" ht="15.75">
      <c r="A16" s="55" t="s">
        <v>23</v>
      </c>
      <c r="B16" s="51">
        <f>J46/$D$3</f>
        <v>0.7359026997083598</v>
      </c>
      <c r="C16" s="108">
        <f>9.18/12</f>
        <v>0.765</v>
      </c>
      <c r="D16" s="324">
        <f>0/12</f>
        <v>0</v>
      </c>
      <c r="E16" s="322">
        <v>275.2253843790988</v>
      </c>
      <c r="F16" s="54">
        <f t="shared" si="0"/>
        <v>0.05355000000000001</v>
      </c>
      <c r="G16" s="54">
        <f t="shared" si="1"/>
        <v>0.130609756097561</v>
      </c>
      <c r="H16" s="49">
        <f t="shared" si="12"/>
        <v>266.1833655115108</v>
      </c>
      <c r="I16" s="54">
        <f t="shared" si="5"/>
        <v>266.3139752676083</v>
      </c>
      <c r="J16" s="54">
        <f t="shared" si="10"/>
        <v>0</v>
      </c>
      <c r="K16" s="322">
        <v>1442.064032931146</v>
      </c>
      <c r="L16" s="54">
        <f t="shared" si="2"/>
        <v>1.49175</v>
      </c>
      <c r="M16" s="54">
        <f t="shared" si="3"/>
        <v>3.6384146341463413</v>
      </c>
      <c r="N16" s="49">
        <f t="shared" si="13"/>
        <v>371.9473015135963</v>
      </c>
      <c r="O16" s="54">
        <f t="shared" si="6"/>
        <v>375.58571614774263</v>
      </c>
      <c r="P16" s="54">
        <f t="shared" si="14"/>
        <v>0</v>
      </c>
      <c r="Q16" s="322">
        <v>1178.2470925570976</v>
      </c>
      <c r="R16" s="54">
        <f t="shared" si="15"/>
        <v>2.2644</v>
      </c>
      <c r="S16" s="54">
        <f t="shared" si="4"/>
        <v>5.522926829268293</v>
      </c>
      <c r="T16" s="49">
        <f t="shared" si="7"/>
        <v>393.25904369715033</v>
      </c>
      <c r="U16" s="54">
        <f t="shared" si="8"/>
        <v>398.7819705264186</v>
      </c>
      <c r="V16" s="54">
        <f t="shared" si="11"/>
        <v>0</v>
      </c>
      <c r="W16" s="54">
        <f t="shared" si="9"/>
        <v>6.12</v>
      </c>
      <c r="X16" s="54"/>
      <c r="Z16" s="49"/>
      <c r="AA16" s="54"/>
      <c r="AB16" s="54"/>
      <c r="AC16" s="54"/>
      <c r="AD16" s="54"/>
      <c r="AE16" s="54"/>
      <c r="AF16" s="49"/>
      <c r="AG16" s="54"/>
      <c r="AH16" s="54"/>
      <c r="AI16" s="54"/>
      <c r="AJ16" s="54"/>
      <c r="AK16" s="54"/>
      <c r="AL16" s="49"/>
      <c r="AM16" s="54"/>
      <c r="AN16" s="54"/>
      <c r="AO16" s="131"/>
      <c r="AP16" s="54"/>
      <c r="AQ16" s="54"/>
      <c r="AR16" s="49"/>
      <c r="AS16" s="54"/>
      <c r="AT16" s="54"/>
    </row>
    <row r="17" spans="1:46" s="112" customFormat="1" ht="15.75">
      <c r="A17" s="55" t="s">
        <v>24</v>
      </c>
      <c r="B17" s="51">
        <f>K46/$D$3</f>
        <v>1.0639775485931213</v>
      </c>
      <c r="C17" s="108">
        <f>10.96/12</f>
        <v>0.9133333333333334</v>
      </c>
      <c r="D17" s="324">
        <f>0/12</f>
        <v>0</v>
      </c>
      <c r="E17" s="322">
        <v>430.1716173116435</v>
      </c>
      <c r="F17" s="54">
        <f t="shared" si="0"/>
        <v>0.06393333333333334</v>
      </c>
      <c r="G17" s="54">
        <f t="shared" si="1"/>
        <v>0.15593495934959353</v>
      </c>
      <c r="H17" s="49">
        <f t="shared" si="12"/>
        <v>384.8513191016179</v>
      </c>
      <c r="I17" s="54">
        <f t="shared" si="5"/>
        <v>385.00725406096745</v>
      </c>
      <c r="J17" s="54">
        <f t="shared" si="10"/>
        <v>0</v>
      </c>
      <c r="K17" s="322">
        <v>674.7723204485421</v>
      </c>
      <c r="L17" s="54">
        <f t="shared" si="2"/>
        <v>1.7810000000000001</v>
      </c>
      <c r="M17" s="54">
        <f t="shared" si="3"/>
        <v>4.343902439024391</v>
      </c>
      <c r="N17" s="49">
        <f t="shared" si="13"/>
        <v>537.7661723854213</v>
      </c>
      <c r="O17" s="54">
        <f t="shared" si="6"/>
        <v>542.1100748244457</v>
      </c>
      <c r="P17" s="54">
        <f t="shared" si="14"/>
        <v>0</v>
      </c>
      <c r="Q17" s="322">
        <v>575.9254287232117</v>
      </c>
      <c r="R17" s="54">
        <f t="shared" si="15"/>
        <v>2.703466666666667</v>
      </c>
      <c r="S17" s="54">
        <f t="shared" si="4"/>
        <v>6.593821138211383</v>
      </c>
      <c r="T17" s="49">
        <f t="shared" si="7"/>
        <v>568.5789621926781</v>
      </c>
      <c r="U17" s="54">
        <f t="shared" si="8"/>
        <v>575.1727833308895</v>
      </c>
      <c r="V17" s="54">
        <f t="shared" si="11"/>
        <v>0</v>
      </c>
      <c r="W17" s="54">
        <f t="shared" si="9"/>
        <v>7.3066666666666675</v>
      </c>
      <c r="X17" s="54"/>
      <c r="Z17" s="49"/>
      <c r="AA17" s="54"/>
      <c r="AB17" s="54"/>
      <c r="AC17" s="54"/>
      <c r="AD17" s="54"/>
      <c r="AE17" s="54"/>
      <c r="AF17" s="49"/>
      <c r="AG17" s="54"/>
      <c r="AH17" s="54"/>
      <c r="AI17" s="54"/>
      <c r="AJ17" s="54"/>
      <c r="AK17" s="54"/>
      <c r="AL17" s="49"/>
      <c r="AM17" s="54"/>
      <c r="AN17" s="54"/>
      <c r="AO17" s="131"/>
      <c r="AP17" s="54"/>
      <c r="AQ17" s="54"/>
      <c r="AR17" s="49"/>
      <c r="AS17" s="54"/>
      <c r="AT17" s="54"/>
    </row>
    <row r="18" spans="1:46" s="112" customFormat="1" ht="15.75">
      <c r="A18" s="55" t="s">
        <v>25</v>
      </c>
      <c r="B18" s="51">
        <f>L46/$D$3</f>
        <v>0.8084054287436664</v>
      </c>
      <c r="C18" s="108">
        <f>8.4/12</f>
        <v>0.7000000000000001</v>
      </c>
      <c r="D18" s="324">
        <f>2.55/12</f>
        <v>0.2125</v>
      </c>
      <c r="E18" s="322">
        <v>581.823225207883</v>
      </c>
      <c r="F18" s="54">
        <f t="shared" si="0"/>
        <v>0.03412500000000001</v>
      </c>
      <c r="G18" s="54">
        <f t="shared" si="1"/>
        <v>0.0832317073170732</v>
      </c>
      <c r="H18" s="49">
        <f t="shared" si="12"/>
        <v>292.40832763087155</v>
      </c>
      <c r="I18" s="54">
        <f t="shared" si="5"/>
        <v>292.4915593381886</v>
      </c>
      <c r="J18" s="54">
        <f t="shared" si="10"/>
        <v>0</v>
      </c>
      <c r="K18" s="322">
        <v>1172.366203810938</v>
      </c>
      <c r="L18" s="54">
        <f t="shared" si="2"/>
        <v>0.950625</v>
      </c>
      <c r="M18" s="54">
        <f t="shared" si="3"/>
        <v>2.31859756097561</v>
      </c>
      <c r="N18" s="49">
        <f t="shared" si="13"/>
        <v>408.5923558499113</v>
      </c>
      <c r="O18" s="54">
        <f t="shared" si="6"/>
        <v>410.9109534108869</v>
      </c>
      <c r="P18" s="54">
        <f t="shared" si="14"/>
        <v>0</v>
      </c>
      <c r="Q18" s="322">
        <v>878.5849279918682</v>
      </c>
      <c r="R18" s="54">
        <f t="shared" si="15"/>
        <v>1.443</v>
      </c>
      <c r="S18" s="54">
        <f t="shared" si="4"/>
        <v>3.5195121951219517</v>
      </c>
      <c r="T18" s="49">
        <f t="shared" si="7"/>
        <v>432.00377706632787</v>
      </c>
      <c r="U18" s="54">
        <f t="shared" si="8"/>
        <v>435.5232892614498</v>
      </c>
      <c r="V18" s="54">
        <f t="shared" si="11"/>
        <v>0</v>
      </c>
      <c r="W18" s="54">
        <f t="shared" si="9"/>
        <v>3.9000000000000004</v>
      </c>
      <c r="X18" s="54"/>
      <c r="Z18" s="49"/>
      <c r="AA18" s="54"/>
      <c r="AB18" s="54"/>
      <c r="AC18" s="54"/>
      <c r="AD18" s="54"/>
      <c r="AE18" s="54"/>
      <c r="AF18" s="49"/>
      <c r="AG18" s="54"/>
      <c r="AH18" s="54"/>
      <c r="AI18" s="54"/>
      <c r="AJ18" s="54"/>
      <c r="AK18" s="54"/>
      <c r="AL18" s="49"/>
      <c r="AM18" s="54"/>
      <c r="AN18" s="54"/>
      <c r="AO18" s="131"/>
      <c r="AP18" s="54"/>
      <c r="AQ18" s="54"/>
      <c r="AR18" s="49"/>
      <c r="AS18" s="54"/>
      <c r="AT18" s="54"/>
    </row>
    <row r="19" spans="1:46" s="112" customFormat="1" ht="15.75">
      <c r="A19" s="55" t="s">
        <v>26</v>
      </c>
      <c r="B19" s="51">
        <f>M46/$D$3</f>
        <v>0.7232147221271813</v>
      </c>
      <c r="C19" s="108">
        <f>6.98/12</f>
        <v>0.5816666666666667</v>
      </c>
      <c r="D19" s="324">
        <f>1.84/12</f>
        <v>0.15333333333333335</v>
      </c>
      <c r="E19" s="322">
        <v>648.3837046397033</v>
      </c>
      <c r="F19" s="54">
        <f t="shared" si="0"/>
        <v>0.029983333333333338</v>
      </c>
      <c r="G19" s="54">
        <f t="shared" si="1"/>
        <v>0.07313008130081303</v>
      </c>
      <c r="H19" s="49">
        <f t="shared" si="12"/>
        <v>261.5939971406227</v>
      </c>
      <c r="I19" s="54">
        <f t="shared" si="5"/>
        <v>261.6671272219235</v>
      </c>
      <c r="J19" s="54">
        <f t="shared" si="10"/>
        <v>0</v>
      </c>
      <c r="K19" s="322">
        <v>1015.3250905278123</v>
      </c>
      <c r="L19" s="54">
        <f t="shared" si="2"/>
        <v>0.83525</v>
      </c>
      <c r="M19" s="54">
        <f t="shared" si="3"/>
        <v>2.03719512195122</v>
      </c>
      <c r="N19" s="49">
        <f t="shared" si="13"/>
        <v>365.5344170047413</v>
      </c>
      <c r="O19" s="54">
        <f t="shared" si="6"/>
        <v>367.5716121266925</v>
      </c>
      <c r="P19" s="54">
        <f t="shared" si="14"/>
        <v>0</v>
      </c>
      <c r="Q19" s="322">
        <v>418.75526313869045</v>
      </c>
      <c r="R19" s="54">
        <f t="shared" si="15"/>
        <v>1.2678666666666667</v>
      </c>
      <c r="S19" s="54">
        <f t="shared" si="4"/>
        <v>3.092357723577236</v>
      </c>
      <c r="T19" s="49">
        <f t="shared" si="7"/>
        <v>386.4787153575444</v>
      </c>
      <c r="U19" s="54">
        <f t="shared" si="8"/>
        <v>389.5710730811216</v>
      </c>
      <c r="V19" s="54">
        <f t="shared" si="11"/>
        <v>0</v>
      </c>
      <c r="W19" s="54">
        <f t="shared" si="9"/>
        <v>3.4266666666666667</v>
      </c>
      <c r="X19" s="54"/>
      <c r="Z19" s="49"/>
      <c r="AA19" s="54"/>
      <c r="AB19" s="54"/>
      <c r="AC19" s="54"/>
      <c r="AD19" s="54"/>
      <c r="AE19" s="54"/>
      <c r="AF19" s="49"/>
      <c r="AG19" s="54"/>
      <c r="AH19" s="54"/>
      <c r="AI19" s="54"/>
      <c r="AJ19" s="54"/>
      <c r="AK19" s="54"/>
      <c r="AL19" s="49"/>
      <c r="AM19" s="54"/>
      <c r="AN19" s="54"/>
      <c r="AO19" s="131"/>
      <c r="AP19" s="54"/>
      <c r="AQ19" s="54"/>
      <c r="AR19" s="49"/>
      <c r="AS19" s="54"/>
      <c r="AT19" s="54"/>
    </row>
    <row r="20" spans="1:46" s="112" customFormat="1" ht="15.75">
      <c r="A20" s="55" t="s">
        <v>27</v>
      </c>
      <c r="B20" s="51">
        <f>N46/$D$3</f>
        <v>0.007250272903530639</v>
      </c>
      <c r="C20" s="108">
        <f>6.19/12</f>
        <v>0.5158333333333334</v>
      </c>
      <c r="D20" s="324">
        <f>7.35/12</f>
        <v>0.6124999999999999</v>
      </c>
      <c r="E20" s="322">
        <v>535.7203887665423</v>
      </c>
      <c r="F20" s="54">
        <f t="shared" si="0"/>
        <v>0</v>
      </c>
      <c r="G20" s="54">
        <f t="shared" si="1"/>
        <v>0</v>
      </c>
      <c r="H20" s="49">
        <f t="shared" si="12"/>
        <v>2.6224962119360673</v>
      </c>
      <c r="I20" s="54">
        <f t="shared" si="5"/>
        <v>2.6224962119360673</v>
      </c>
      <c r="J20" s="54">
        <f t="shared" si="10"/>
        <v>0</v>
      </c>
      <c r="K20" s="322">
        <v>1565.958853660848</v>
      </c>
      <c r="L20" s="54">
        <f t="shared" si="2"/>
        <v>0</v>
      </c>
      <c r="M20" s="54">
        <f t="shared" si="3"/>
        <v>0</v>
      </c>
      <c r="N20" s="49">
        <f t="shared" si="13"/>
        <v>3.664505433631491</v>
      </c>
      <c r="O20" s="54">
        <f t="shared" si="6"/>
        <v>3.664505433631491</v>
      </c>
      <c r="P20" s="54">
        <f t="shared" si="14"/>
        <v>0</v>
      </c>
      <c r="Q20" s="322">
        <v>745.3567817561343</v>
      </c>
      <c r="R20" s="54">
        <f t="shared" si="15"/>
        <v>0</v>
      </c>
      <c r="S20" s="54">
        <f t="shared" si="4"/>
        <v>0</v>
      </c>
      <c r="T20" s="49">
        <f t="shared" si="7"/>
        <v>3.8744733369177378</v>
      </c>
      <c r="U20" s="54">
        <f t="shared" si="8"/>
        <v>3.8744733369177378</v>
      </c>
      <c r="V20" s="54">
        <f t="shared" si="11"/>
        <v>0</v>
      </c>
      <c r="W20" s="54">
        <f t="shared" si="9"/>
        <v>0</v>
      </c>
      <c r="X20" s="54"/>
      <c r="Z20" s="49"/>
      <c r="AA20" s="54"/>
      <c r="AB20" s="54"/>
      <c r="AC20" s="54"/>
      <c r="AD20" s="54"/>
      <c r="AE20" s="54"/>
      <c r="AF20" s="49"/>
      <c r="AG20" s="54"/>
      <c r="AH20" s="54"/>
      <c r="AI20" s="54"/>
      <c r="AJ20" s="54"/>
      <c r="AK20" s="54"/>
      <c r="AL20" s="49"/>
      <c r="AM20" s="54"/>
      <c r="AN20" s="54"/>
      <c r="AO20" s="131"/>
      <c r="AP20" s="54"/>
      <c r="AQ20" s="54"/>
      <c r="AR20" s="49"/>
      <c r="AS20" s="54"/>
      <c r="AT20" s="54"/>
    </row>
    <row r="21" spans="1:46" s="112" customFormat="1" ht="15.75">
      <c r="A21" s="55" t="s">
        <v>28</v>
      </c>
      <c r="B21" s="51">
        <f>O46/$D$3</f>
        <v>0.2918234843671082</v>
      </c>
      <c r="C21" s="108">
        <f>5.2/12</f>
        <v>0.43333333333333335</v>
      </c>
      <c r="D21" s="324">
        <f>1.19/12</f>
        <v>0.09916666666666667</v>
      </c>
      <c r="E21" s="322">
        <v>174.42892927794276</v>
      </c>
      <c r="F21" s="54">
        <f t="shared" si="0"/>
        <v>0.023391666666666668</v>
      </c>
      <c r="G21" s="54">
        <f t="shared" si="1"/>
        <v>0.05705284552845529</v>
      </c>
      <c r="H21" s="49">
        <f t="shared" si="12"/>
        <v>105.5554725304267</v>
      </c>
      <c r="I21" s="54">
        <f t="shared" si="5"/>
        <v>105.61252537595516</v>
      </c>
      <c r="J21" s="54">
        <f t="shared" si="10"/>
        <v>0</v>
      </c>
      <c r="K21" s="322">
        <v>487.1982576802313</v>
      </c>
      <c r="L21" s="54">
        <f t="shared" si="2"/>
        <v>0.651625</v>
      </c>
      <c r="M21" s="54">
        <f t="shared" si="3"/>
        <v>1.589329268292683</v>
      </c>
      <c r="N21" s="49">
        <f t="shared" si="13"/>
        <v>147.4963437036675</v>
      </c>
      <c r="O21" s="54">
        <f t="shared" si="6"/>
        <v>149.08567297196018</v>
      </c>
      <c r="P21" s="54">
        <f t="shared" si="14"/>
        <v>0</v>
      </c>
      <c r="Q21" s="322">
        <v>440.9355049614584</v>
      </c>
      <c r="R21" s="54">
        <f t="shared" si="15"/>
        <v>0.9891333333333333</v>
      </c>
      <c r="S21" s="54">
        <f t="shared" si="4"/>
        <v>2.412520325203252</v>
      </c>
      <c r="T21" s="49">
        <f t="shared" si="7"/>
        <v>155.94755181093893</v>
      </c>
      <c r="U21" s="54">
        <f t="shared" si="8"/>
        <v>158.36007213614218</v>
      </c>
      <c r="V21" s="54">
        <f t="shared" si="11"/>
        <v>0</v>
      </c>
      <c r="W21" s="54">
        <f t="shared" si="9"/>
        <v>2.6733333333333333</v>
      </c>
      <c r="X21" s="54"/>
      <c r="Z21" s="49"/>
      <c r="AA21" s="54"/>
      <c r="AB21" s="54"/>
      <c r="AC21" s="54"/>
      <c r="AD21" s="54"/>
      <c r="AE21" s="54"/>
      <c r="AF21" s="49"/>
      <c r="AG21" s="54"/>
      <c r="AH21" s="54"/>
      <c r="AI21" s="54"/>
      <c r="AJ21" s="54"/>
      <c r="AK21" s="54"/>
      <c r="AL21" s="49"/>
      <c r="AM21" s="54"/>
      <c r="AN21" s="54"/>
      <c r="AO21" s="131"/>
      <c r="AP21" s="54"/>
      <c r="AQ21" s="54"/>
      <c r="AR21" s="49"/>
      <c r="AS21" s="54"/>
      <c r="AT21" s="54"/>
    </row>
    <row r="22" spans="1:46" s="112" customFormat="1" ht="15.75">
      <c r="A22" s="55" t="s">
        <v>29</v>
      </c>
      <c r="B22" s="51">
        <f>P46/$D$3</f>
        <v>0.05618961500236245</v>
      </c>
      <c r="C22" s="108">
        <f>2.71/12</f>
        <v>0.22583333333333333</v>
      </c>
      <c r="D22" s="324">
        <f>0.57/12</f>
        <v>0.047499999999999994</v>
      </c>
      <c r="E22" s="322">
        <v>309.1331888429399</v>
      </c>
      <c r="F22" s="54">
        <f t="shared" si="0"/>
        <v>0.012483333333333336</v>
      </c>
      <c r="G22" s="54">
        <f t="shared" si="1"/>
        <v>0.030447154471544724</v>
      </c>
      <c r="H22" s="49">
        <f t="shared" si="12"/>
        <v>20.32434564250452</v>
      </c>
      <c r="I22" s="54">
        <f t="shared" si="5"/>
        <v>20.354792796976067</v>
      </c>
      <c r="J22" s="54">
        <f t="shared" si="10"/>
        <v>0</v>
      </c>
      <c r="K22" s="322">
        <v>563.4540542996878</v>
      </c>
      <c r="L22" s="54">
        <f t="shared" si="2"/>
        <v>0.34775</v>
      </c>
      <c r="M22" s="54">
        <f t="shared" si="3"/>
        <v>0.8481707317073172</v>
      </c>
      <c r="N22" s="49">
        <f t="shared" si="13"/>
        <v>28.399917110644054</v>
      </c>
      <c r="O22" s="54">
        <f t="shared" si="6"/>
        <v>29.24808784235137</v>
      </c>
      <c r="P22" s="54">
        <f t="shared" si="14"/>
        <v>0</v>
      </c>
      <c r="Q22" s="322">
        <v>1514.5198407916666</v>
      </c>
      <c r="R22" s="54">
        <f t="shared" si="15"/>
        <v>0.5278666666666667</v>
      </c>
      <c r="S22" s="54">
        <f t="shared" si="4"/>
        <v>1.287479674796748</v>
      </c>
      <c r="T22" s="49">
        <f t="shared" si="7"/>
        <v>30.02716836111247</v>
      </c>
      <c r="U22" s="54">
        <f t="shared" si="8"/>
        <v>31.31464803590922</v>
      </c>
      <c r="V22" s="54">
        <f t="shared" si="11"/>
        <v>0</v>
      </c>
      <c r="W22" s="54">
        <f t="shared" si="9"/>
        <v>1.4266666666666667</v>
      </c>
      <c r="X22" s="54"/>
      <c r="Z22" s="49"/>
      <c r="AA22" s="54"/>
      <c r="AB22" s="54"/>
      <c r="AC22" s="54"/>
      <c r="AD22" s="54"/>
      <c r="AE22" s="54"/>
      <c r="AF22" s="49"/>
      <c r="AG22" s="54"/>
      <c r="AH22" s="54"/>
      <c r="AI22" s="54"/>
      <c r="AJ22" s="54"/>
      <c r="AK22" s="54"/>
      <c r="AL22" s="49"/>
      <c r="AM22" s="54"/>
      <c r="AN22" s="54"/>
      <c r="AO22" s="131"/>
      <c r="AP22" s="54"/>
      <c r="AQ22" s="54"/>
      <c r="AR22" s="49"/>
      <c r="AS22" s="54"/>
      <c r="AT22" s="54"/>
    </row>
    <row r="23" spans="1:46" s="112" customFormat="1" ht="15.75">
      <c r="A23" s="55" t="s">
        <v>211</v>
      </c>
      <c r="B23" s="54">
        <f>Q46/$D$3</f>
        <v>0</v>
      </c>
      <c r="C23" s="179">
        <f>2.21/12</f>
        <v>0.18416666666666667</v>
      </c>
      <c r="D23" s="339">
        <f>1.26/12</f>
        <v>0.105</v>
      </c>
      <c r="E23" s="334">
        <v>5.953415257575758</v>
      </c>
      <c r="F23" s="54">
        <f t="shared" si="0"/>
        <v>0.005541666666666668</v>
      </c>
      <c r="G23" s="54">
        <f t="shared" si="1"/>
        <v>0.01351626016260163</v>
      </c>
      <c r="H23" s="49">
        <f>F$9*$B23</f>
        <v>0</v>
      </c>
      <c r="I23" s="54">
        <f>G23+H23</f>
        <v>0.01351626016260163</v>
      </c>
      <c r="J23" s="338">
        <v>0</v>
      </c>
      <c r="K23" s="329">
        <v>6.489347134285714</v>
      </c>
      <c r="L23" s="54">
        <f t="shared" si="2"/>
        <v>0.154375</v>
      </c>
      <c r="M23" s="54">
        <f t="shared" si="3"/>
        <v>0.3765243902439025</v>
      </c>
      <c r="N23" s="49">
        <f>L$9*$B23</f>
        <v>0</v>
      </c>
      <c r="O23" s="54">
        <f>M23+N23</f>
        <v>0.3765243902439025</v>
      </c>
      <c r="P23" s="338">
        <v>0</v>
      </c>
      <c r="Q23" s="329">
        <v>70.19349916858333</v>
      </c>
      <c r="R23" s="54">
        <f>R$7*(IF($C23-$D23&lt;0,0,ABS($C23-$D23)))</f>
        <v>0.23433333333333337</v>
      </c>
      <c r="S23" s="54">
        <f t="shared" si="4"/>
        <v>0.5715447154471546</v>
      </c>
      <c r="T23" s="49">
        <f>R$9*$B23</f>
        <v>0</v>
      </c>
      <c r="U23" s="54">
        <f>S23+T23</f>
        <v>0.5715447154471546</v>
      </c>
      <c r="V23" s="338">
        <v>0</v>
      </c>
      <c r="W23" s="54">
        <f>W$7*(IF($C23-$D23&lt;0,0,ABS($C23-$D23)))</f>
        <v>0.6333333333333334</v>
      </c>
      <c r="X23" s="54"/>
      <c r="Z23" s="49"/>
      <c r="AA23" s="54"/>
      <c r="AB23" s="54"/>
      <c r="AD23" s="54"/>
      <c r="AE23" s="54"/>
      <c r="AF23" s="49"/>
      <c r="AG23" s="54"/>
      <c r="AH23" s="54"/>
      <c r="AJ23" s="54"/>
      <c r="AK23" s="54"/>
      <c r="AL23" s="121"/>
      <c r="AM23" s="54"/>
      <c r="AN23" s="54"/>
      <c r="AP23" s="54"/>
      <c r="AQ23" s="54"/>
      <c r="AR23" s="121"/>
      <c r="AS23" s="54"/>
      <c r="AT23" s="54"/>
    </row>
    <row r="24" spans="1:46" s="120" customFormat="1" ht="15.75">
      <c r="A24" s="53" t="s">
        <v>34</v>
      </c>
      <c r="B24" s="53">
        <f aca="true" t="shared" si="16" ref="B24:U24">SUM(B12:B23)</f>
        <v>4.522357723577237</v>
      </c>
      <c r="C24" s="53">
        <f t="shared" si="16"/>
        <v>5.920833333333334</v>
      </c>
      <c r="D24" s="53">
        <f t="shared" si="16"/>
        <v>1.3258333333333334</v>
      </c>
      <c r="E24" s="53">
        <f t="shared" si="16"/>
        <v>4189.097132466318</v>
      </c>
      <c r="F24" s="53">
        <f t="shared" si="16"/>
        <v>0.32841666666666675</v>
      </c>
      <c r="G24" s="53">
        <f t="shared" si="16"/>
        <v>0.8010162601626017</v>
      </c>
      <c r="H24" s="53">
        <f t="shared" si="16"/>
        <v>1635.782012195122</v>
      </c>
      <c r="I24" s="53">
        <f t="shared" si="16"/>
        <v>1636.5830284552842</v>
      </c>
      <c r="J24" s="53">
        <f t="shared" si="16"/>
        <v>0</v>
      </c>
      <c r="K24" s="53">
        <f t="shared" si="16"/>
        <v>9688.494046069873</v>
      </c>
      <c r="L24" s="53">
        <f t="shared" si="16"/>
        <v>9.14875</v>
      </c>
      <c r="M24" s="53">
        <f t="shared" si="16"/>
        <v>22.314024390243905</v>
      </c>
      <c r="N24" s="53">
        <f t="shared" si="16"/>
        <v>2285.7352642276423</v>
      </c>
      <c r="O24" s="53">
        <f t="shared" si="16"/>
        <v>2308.0492886178863</v>
      </c>
      <c r="P24" s="53">
        <f t="shared" si="16"/>
        <v>0</v>
      </c>
      <c r="Q24" s="53">
        <f t="shared" si="16"/>
        <v>8192.511637527137</v>
      </c>
      <c r="R24" s="53">
        <f t="shared" si="16"/>
        <v>13.887333333333332</v>
      </c>
      <c r="S24" s="53">
        <f t="shared" si="16"/>
        <v>33.87154471544716</v>
      </c>
      <c r="T24" s="53">
        <f t="shared" si="16"/>
        <v>2416.702743902439</v>
      </c>
      <c r="U24" s="53">
        <f t="shared" si="16"/>
        <v>2450.574288617886</v>
      </c>
      <c r="V24" s="53">
        <f>SUM(V12:V23)</f>
        <v>0</v>
      </c>
      <c r="W24" s="53">
        <f>SUM(W12:W23)</f>
        <v>37.53333333333334</v>
      </c>
      <c r="X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</row>
    <row r="25" spans="1:29" s="112" customFormat="1" ht="15.75">
      <c r="A25" s="247" t="s">
        <v>353</v>
      </c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T25" s="325" t="s">
        <v>345</v>
      </c>
      <c r="U25" s="288"/>
      <c r="V25" s="288"/>
      <c r="W25" s="49"/>
      <c r="AB25" s="49"/>
      <c r="AC25" s="49"/>
    </row>
    <row r="26" s="49" customFormat="1" ht="15.75">
      <c r="A26" s="49" t="s">
        <v>352</v>
      </c>
    </row>
    <row r="27" spans="1:52" s="148" customFormat="1" ht="18">
      <c r="A27" s="141" t="s">
        <v>35</v>
      </c>
      <c r="B27" s="142"/>
      <c r="C27" s="146"/>
      <c r="D27" s="147"/>
      <c r="E27" s="147"/>
      <c r="F27" s="382" t="s">
        <v>120</v>
      </c>
      <c r="G27" s="383"/>
      <c r="H27" s="383"/>
      <c r="I27" s="383"/>
      <c r="J27" s="383"/>
      <c r="K27" s="383"/>
      <c r="L27" s="384" t="s">
        <v>121</v>
      </c>
      <c r="M27" s="383"/>
      <c r="N27" s="383"/>
      <c r="O27" s="383"/>
      <c r="P27" s="383"/>
      <c r="Q27" s="383"/>
      <c r="R27" s="196"/>
      <c r="S27" s="385" t="s">
        <v>73</v>
      </c>
      <c r="T27" s="386"/>
      <c r="U27" s="386"/>
      <c r="V27" s="386"/>
      <c r="W27" s="386"/>
      <c r="X27" s="386"/>
      <c r="Y27" s="232"/>
      <c r="Z27" s="234"/>
      <c r="AA27" s="235"/>
      <c r="AB27" s="235"/>
      <c r="AC27" s="235"/>
      <c r="AD27" s="235"/>
      <c r="AE27" s="235"/>
      <c r="AF27" s="235"/>
      <c r="AG27" s="232"/>
      <c r="AH27" s="235"/>
      <c r="AI27" s="235"/>
      <c r="AJ27" s="235"/>
      <c r="AK27" s="236"/>
      <c r="AL27" s="236"/>
      <c r="AM27" s="236"/>
      <c r="AN27" s="236"/>
      <c r="AO27" s="236"/>
      <c r="AP27" s="236"/>
      <c r="AQ27" s="236"/>
      <c r="AR27" s="236"/>
      <c r="AS27" s="236"/>
      <c r="AT27" s="236"/>
      <c r="AU27" s="237"/>
      <c r="AV27" s="237"/>
      <c r="AW27" s="237"/>
      <c r="AX27" s="237"/>
      <c r="AY27" s="237"/>
      <c r="AZ27" s="237"/>
    </row>
    <row r="28" spans="1:33" s="140" customFormat="1" ht="72.75" customHeight="1">
      <c r="A28" s="129"/>
      <c r="B28" s="129"/>
      <c r="C28" s="149" t="s">
        <v>8</v>
      </c>
      <c r="D28" s="149" t="s">
        <v>9</v>
      </c>
      <c r="E28" s="150"/>
      <c r="F28" s="116" t="s">
        <v>207</v>
      </c>
      <c r="G28" s="126" t="s">
        <v>0</v>
      </c>
      <c r="H28" s="116" t="s">
        <v>2</v>
      </c>
      <c r="I28" s="116" t="s">
        <v>3</v>
      </c>
      <c r="J28" s="116" t="s">
        <v>298</v>
      </c>
      <c r="K28" s="116" t="s">
        <v>299</v>
      </c>
      <c r="L28" s="129"/>
      <c r="M28" s="116" t="s">
        <v>209</v>
      </c>
      <c r="N28" s="126" t="s">
        <v>0</v>
      </c>
      <c r="O28" s="116" t="s">
        <v>299</v>
      </c>
      <c r="P28" s="116" t="s">
        <v>208</v>
      </c>
      <c r="Q28" s="126" t="s">
        <v>0</v>
      </c>
      <c r="S28" s="126" t="s">
        <v>122</v>
      </c>
      <c r="T28" s="116" t="s">
        <v>1</v>
      </c>
      <c r="U28" s="116" t="s">
        <v>4</v>
      </c>
      <c r="V28" s="126" t="s">
        <v>300</v>
      </c>
      <c r="W28" s="126" t="s">
        <v>123</v>
      </c>
      <c r="X28" s="126" t="s">
        <v>301</v>
      </c>
      <c r="Y28" s="116"/>
      <c r="Z28" s="126"/>
      <c r="AA28" s="116"/>
      <c r="AB28" s="116"/>
      <c r="AC28" s="126"/>
      <c r="AD28" s="126"/>
      <c r="AE28" s="126"/>
      <c r="AG28" s="83"/>
    </row>
    <row r="29" spans="1:39" ht="15.75">
      <c r="A29" s="110" t="s">
        <v>242</v>
      </c>
      <c r="B29" s="49"/>
      <c r="C29" s="51">
        <f>B24*D3</f>
        <v>1.854166666666667</v>
      </c>
      <c r="E29" s="54"/>
      <c r="F29" s="54">
        <f>($F9+$L9+$R9+$X9+$AD9+$AJ9)-F30</f>
        <v>1401.53</v>
      </c>
      <c r="G29" s="54">
        <f>F29*$C29</f>
        <v>2598.670208333334</v>
      </c>
      <c r="H29" s="112">
        <f>H24+N24+T24+Z24+AF24+AL24</f>
        <v>6338.220020325203</v>
      </c>
      <c r="I29" s="112"/>
      <c r="J29" s="49"/>
      <c r="K29" s="49">
        <f>G29*J32</f>
        <v>0</v>
      </c>
      <c r="L29" s="112"/>
      <c r="M29" s="338">
        <v>439.17</v>
      </c>
      <c r="N29" s="54">
        <f>M29*$C29</f>
        <v>814.2943750000002</v>
      </c>
      <c r="O29" s="49">
        <f>J32*N29</f>
        <v>0</v>
      </c>
      <c r="P29" s="341">
        <v>9.57</v>
      </c>
      <c r="Q29" s="54">
        <f>P29*$C29</f>
        <v>17.744375000000005</v>
      </c>
      <c r="S29" s="112">
        <f>F29+M29+P29</f>
        <v>1850.27</v>
      </c>
      <c r="T29" s="49">
        <f>G29+N29+Q29</f>
        <v>3430.7089583333345</v>
      </c>
      <c r="U29" s="49">
        <f>O29+K29</f>
        <v>0</v>
      </c>
      <c r="V29" s="49">
        <f>T29-U29</f>
        <v>3430.7089583333345</v>
      </c>
      <c r="W29" s="49"/>
      <c r="X29" s="49"/>
      <c r="Y29" s="112"/>
      <c r="Z29" s="112"/>
      <c r="AA29" s="46"/>
      <c r="AB29" s="49"/>
      <c r="AC29" s="49"/>
      <c r="AD29" s="49"/>
      <c r="AE29" s="49"/>
      <c r="AG29" s="49"/>
      <c r="AH29" s="114"/>
      <c r="AI29" s="114"/>
      <c r="AM29" s="49"/>
    </row>
    <row r="30" spans="1:39" ht="15.75">
      <c r="A30" s="110" t="s">
        <v>243</v>
      </c>
      <c r="B30" s="49"/>
      <c r="C30" s="112"/>
      <c r="D30" s="54"/>
      <c r="E30" s="54"/>
      <c r="F30" s="54"/>
      <c r="G30" s="54"/>
      <c r="H30" s="112"/>
      <c r="I30" s="112"/>
      <c r="J30" s="49"/>
      <c r="K30" s="49"/>
      <c r="L30" s="112"/>
      <c r="M30" s="54">
        <v>0</v>
      </c>
      <c r="N30" s="54"/>
      <c r="O30" s="49"/>
      <c r="P30" s="112">
        <v>0</v>
      </c>
      <c r="Q30" s="54"/>
      <c r="S30" s="112"/>
      <c r="T30" s="49"/>
      <c r="U30" s="49"/>
      <c r="V30" s="49"/>
      <c r="W30" s="49"/>
      <c r="X30" s="49"/>
      <c r="Y30" s="112"/>
      <c r="Z30" s="112"/>
      <c r="AA30" s="46"/>
      <c r="AB30" s="49"/>
      <c r="AC30" s="49"/>
      <c r="AD30" s="49"/>
      <c r="AE30" s="49"/>
      <c r="AG30" s="49"/>
      <c r="AH30" s="114"/>
      <c r="AI30" s="114"/>
      <c r="AK30" s="64"/>
      <c r="AM30" s="49"/>
    </row>
    <row r="31" spans="1:39" s="45" customFormat="1" ht="15.75">
      <c r="A31" s="45" t="s">
        <v>50</v>
      </c>
      <c r="E31" s="51"/>
      <c r="F31" s="54">
        <f>F7+L7+R7+X7+AD7+AJ7+AP7</f>
        <v>4.98</v>
      </c>
      <c r="G31" s="54">
        <f>F31*($C24-$D24)</f>
        <v>22.883100000000006</v>
      </c>
      <c r="H31" s="112">
        <f>G24+M24+S24+W24</f>
        <v>94.519918699187</v>
      </c>
      <c r="J31" s="49"/>
      <c r="K31" s="49">
        <f>G31*J32</f>
        <v>0</v>
      </c>
      <c r="M31" s="338">
        <v>9.75</v>
      </c>
      <c r="N31" s="54">
        <f>M31*($C24-$D24)</f>
        <v>44.80125</v>
      </c>
      <c r="O31" s="54">
        <f>J32*N31</f>
        <v>0</v>
      </c>
      <c r="P31" s="322">
        <v>0.54</v>
      </c>
      <c r="Q31" s="54">
        <f>P31*($C24-$D24)</f>
        <v>2.4813000000000005</v>
      </c>
      <c r="R31" s="54"/>
      <c r="S31" s="112">
        <f>F31+M31+P31</f>
        <v>15.27</v>
      </c>
      <c r="T31" s="49">
        <f>G31+N31+Q31</f>
        <v>70.16565000000001</v>
      </c>
      <c r="U31" s="49">
        <f>O31+K31</f>
        <v>0</v>
      </c>
      <c r="V31" s="49">
        <f>T31-U31</f>
        <v>70.16565000000001</v>
      </c>
      <c r="W31" s="42"/>
      <c r="Y31" s="49"/>
      <c r="Z31" s="112"/>
      <c r="AA31" s="46"/>
      <c r="AB31" s="49"/>
      <c r="AC31" s="49"/>
      <c r="AD31" s="42"/>
      <c r="AH31" s="110"/>
      <c r="AI31" s="110"/>
      <c r="AJ31" s="110"/>
      <c r="AK31" s="110"/>
      <c r="AL31" s="110"/>
      <c r="AM31" s="49"/>
    </row>
    <row r="32" spans="1:39" ht="15.75">
      <c r="A32" s="64" t="s">
        <v>73</v>
      </c>
      <c r="B32" s="49"/>
      <c r="D32" s="54"/>
      <c r="E32" s="54"/>
      <c r="F32" s="54">
        <f>SUM(F29:F31)</f>
        <v>1406.51</v>
      </c>
      <c r="G32" s="54">
        <f>SUM(G29:G31)</f>
        <v>2621.553308333334</v>
      </c>
      <c r="H32" s="54">
        <f>SUM(H29:H31)</f>
        <v>6432.73993902439</v>
      </c>
      <c r="I32" s="112">
        <f>J24+P24+V24+AB24+AH24+AN24+AT24</f>
        <v>0</v>
      </c>
      <c r="J32" s="53">
        <f>I32/H32</f>
        <v>0</v>
      </c>
      <c r="K32" s="54">
        <f>J32*G32</f>
        <v>0</v>
      </c>
      <c r="L32" s="112"/>
      <c r="M32" s="54">
        <f>SUM(M29:M31)</f>
        <v>448.92</v>
      </c>
      <c r="N32" s="54">
        <f>SUM(N29:N31)</f>
        <v>859.0956250000002</v>
      </c>
      <c r="O32" s="54">
        <f>SUM(O29:O31)</f>
        <v>0</v>
      </c>
      <c r="P32" s="54">
        <f>SUM(P29:P31)</f>
        <v>10.11</v>
      </c>
      <c r="Q32" s="54">
        <f>SUM(Q29:Q31)</f>
        <v>20.225675000000006</v>
      </c>
      <c r="S32" s="112">
        <f>SUM(S29:S31)</f>
        <v>1865.54</v>
      </c>
      <c r="T32" s="49">
        <f>SUM(T29:T31)</f>
        <v>3500.8746083333344</v>
      </c>
      <c r="U32" s="49">
        <f>SUM(U29:U31)</f>
        <v>0</v>
      </c>
      <c r="V32" s="49">
        <f>SUM(V29:V31)</f>
        <v>3500.8746083333344</v>
      </c>
      <c r="W32" s="54">
        <f>(V32-Q32)*0.1+(Q32*0.02)</f>
        <v>348.46940683333344</v>
      </c>
      <c r="X32" s="49">
        <f>W32+V32</f>
        <v>3849.3440151666678</v>
      </c>
      <c r="Y32" s="112"/>
      <c r="Z32" s="64"/>
      <c r="AA32" s="46"/>
      <c r="AB32" s="46"/>
      <c r="AC32" s="46"/>
      <c r="AD32" s="50"/>
      <c r="AE32" s="46"/>
      <c r="AG32" s="49"/>
      <c r="AM32" s="49"/>
    </row>
    <row r="33" spans="1:33" ht="15.75">
      <c r="A33" s="49"/>
      <c r="B33" s="49"/>
      <c r="C33" s="112"/>
      <c r="D33" s="54"/>
      <c r="E33" s="54"/>
      <c r="F33" s="54"/>
      <c r="G33" s="54"/>
      <c r="H33" s="112"/>
      <c r="I33" s="112"/>
      <c r="J33" s="54"/>
      <c r="K33" s="54"/>
      <c r="L33" s="112"/>
      <c r="M33" s="54"/>
      <c r="N33" s="54"/>
      <c r="O33" s="49"/>
      <c r="P33" s="54"/>
      <c r="Q33" s="54"/>
      <c r="R33" s="54"/>
      <c r="S33" s="112"/>
      <c r="T33" s="112"/>
      <c r="U33" s="49"/>
      <c r="V33" s="49"/>
      <c r="W33" s="49"/>
      <c r="X33" s="46"/>
      <c r="Y33" s="49"/>
      <c r="Z33" s="49"/>
      <c r="AA33" s="49"/>
      <c r="AF33" s="49"/>
      <c r="AG33" s="49"/>
    </row>
    <row r="34" spans="1:33" ht="15.75">
      <c r="A34" s="49" t="s">
        <v>124</v>
      </c>
      <c r="B34" s="49"/>
      <c r="C34" s="112"/>
      <c r="D34" s="54"/>
      <c r="E34" s="54"/>
      <c r="F34" s="54"/>
      <c r="G34" s="54"/>
      <c r="H34" s="112"/>
      <c r="I34" s="112"/>
      <c r="J34" s="54"/>
      <c r="K34" s="54"/>
      <c r="L34" s="112"/>
      <c r="M34" s="54"/>
      <c r="N34" s="54"/>
      <c r="O34" s="49"/>
      <c r="P34" s="54"/>
      <c r="Q34" s="54"/>
      <c r="R34" s="54"/>
      <c r="S34" s="112"/>
      <c r="T34" s="112"/>
      <c r="U34" s="49"/>
      <c r="V34" s="49"/>
      <c r="W34" s="49"/>
      <c r="X34" s="46"/>
      <c r="Y34" s="49"/>
      <c r="Z34" s="49"/>
      <c r="AG34" s="49"/>
    </row>
    <row r="35" spans="1:27" s="36" customFormat="1" ht="15.75">
      <c r="A35" s="37" t="s">
        <v>359</v>
      </c>
      <c r="C35" s="51"/>
      <c r="D35" s="51"/>
      <c r="E35" s="51"/>
      <c r="F35" s="37"/>
      <c r="G35" s="37"/>
      <c r="H35" s="54"/>
      <c r="I35" s="37"/>
      <c r="J35" s="54"/>
      <c r="K35" s="54"/>
      <c r="L35" s="49"/>
      <c r="M35" s="54"/>
      <c r="N35" s="54"/>
      <c r="O35" s="37"/>
      <c r="P35" s="37"/>
      <c r="Q35" s="49"/>
      <c r="R35" s="49"/>
      <c r="S35" s="46"/>
      <c r="T35" s="42"/>
      <c r="U35" s="45"/>
      <c r="V35" s="45"/>
      <c r="W35" s="45"/>
      <c r="X35" s="4"/>
      <c r="Y35" s="42"/>
      <c r="Z35" s="45"/>
      <c r="AA35" s="45"/>
    </row>
    <row r="36" spans="1:33" s="139" customFormat="1" ht="15.75">
      <c r="A36" s="143" t="s">
        <v>198</v>
      </c>
      <c r="B36" s="143"/>
      <c r="D36" s="136"/>
      <c r="E36" s="136"/>
      <c r="F36" s="136"/>
      <c r="G36" s="144"/>
      <c r="H36" s="136"/>
      <c r="I36" s="136"/>
      <c r="J36" s="136"/>
      <c r="K36" s="136"/>
      <c r="L36" s="136"/>
      <c r="M36" s="144"/>
      <c r="N36" s="136"/>
      <c r="O36" s="136"/>
      <c r="P36" s="136"/>
      <c r="Q36" s="136"/>
      <c r="R36" s="136"/>
      <c r="S36" s="144"/>
      <c r="T36" s="136"/>
      <c r="U36" s="136"/>
      <c r="V36" s="137"/>
      <c r="W36" s="137"/>
      <c r="X36" s="137"/>
      <c r="Y36" s="138"/>
      <c r="Z36" s="137"/>
      <c r="AA36" s="137"/>
      <c r="AF36" s="137"/>
      <c r="AG36" s="137"/>
    </row>
    <row r="37" spans="1:33" ht="15.75">
      <c r="A37" s="49"/>
      <c r="B37" s="49"/>
      <c r="C37" s="55"/>
      <c r="D37" s="46"/>
      <c r="E37" s="46"/>
      <c r="F37" s="53" t="s">
        <v>89</v>
      </c>
      <c r="G37" s="53" t="s">
        <v>90</v>
      </c>
      <c r="H37" s="53" t="s">
        <v>91</v>
      </c>
      <c r="I37" s="53" t="s">
        <v>92</v>
      </c>
      <c r="J37" s="53" t="s">
        <v>23</v>
      </c>
      <c r="K37" s="53" t="s">
        <v>93</v>
      </c>
      <c r="L37" s="53" t="s">
        <v>94</v>
      </c>
      <c r="M37" s="53" t="s">
        <v>95</v>
      </c>
      <c r="N37" s="53" t="s">
        <v>96</v>
      </c>
      <c r="O37" s="53" t="s">
        <v>97</v>
      </c>
      <c r="P37" s="53" t="s">
        <v>98</v>
      </c>
      <c r="Q37" s="53" t="s">
        <v>99</v>
      </c>
      <c r="R37" s="53" t="s">
        <v>73</v>
      </c>
      <c r="S37" s="50"/>
      <c r="T37" s="46"/>
      <c r="U37" s="46"/>
      <c r="V37" s="49"/>
      <c r="W37" s="49"/>
      <c r="X37" s="49"/>
      <c r="Y37" s="52"/>
      <c r="Z37" s="49"/>
      <c r="AA37" s="49"/>
      <c r="AF37" s="49"/>
      <c r="AG37" s="49"/>
    </row>
    <row r="38" spans="1:33" ht="15.75">
      <c r="A38" s="46"/>
      <c r="B38" s="46"/>
      <c r="C38" s="46"/>
      <c r="T38" s="4" t="s">
        <v>14</v>
      </c>
      <c r="U38" s="37"/>
      <c r="V38" s="4"/>
      <c r="W38" s="42"/>
      <c r="X38" s="45"/>
      <c r="Y38" s="52"/>
      <c r="AF38" s="49"/>
      <c r="AG38" s="49"/>
    </row>
    <row r="39" spans="1:33" ht="15.75">
      <c r="A39" s="46" t="s">
        <v>343</v>
      </c>
      <c r="B39" s="46"/>
      <c r="C39" s="151"/>
      <c r="F39" s="322">
        <v>0.13</v>
      </c>
      <c r="G39" s="322">
        <v>0.77</v>
      </c>
      <c r="H39" s="322">
        <v>1.02</v>
      </c>
      <c r="I39" s="322">
        <v>2.69</v>
      </c>
      <c r="J39" s="322">
        <v>4.06</v>
      </c>
      <c r="K39" s="322">
        <v>5.87</v>
      </c>
      <c r="L39" s="322">
        <v>4.46</v>
      </c>
      <c r="M39" s="322">
        <v>3.99</v>
      </c>
      <c r="N39" s="322">
        <v>0.04</v>
      </c>
      <c r="O39" s="322">
        <v>1.61</v>
      </c>
      <c r="P39" s="322">
        <v>0.31</v>
      </c>
      <c r="Q39" s="322">
        <v>0</v>
      </c>
      <c r="R39" s="45">
        <f>SUM(F39:Q39)</f>
        <v>24.95</v>
      </c>
      <c r="T39" s="45"/>
      <c r="U39" s="4" t="s">
        <v>81</v>
      </c>
      <c r="V39" s="37"/>
      <c r="W39" s="35"/>
      <c r="X39" s="45"/>
      <c r="Y39" s="52"/>
      <c r="AF39" s="49"/>
      <c r="AG39" s="49"/>
    </row>
    <row r="40" spans="1:33" ht="15.75">
      <c r="A40" s="46" t="s">
        <v>100</v>
      </c>
      <c r="B40" s="46"/>
      <c r="C40" s="49"/>
      <c r="F40" s="45">
        <f>F39/$R39</f>
        <v>0.005210420841683367</v>
      </c>
      <c r="G40" s="45">
        <f aca="true" t="shared" si="17" ref="G40:Q40">G39/$R39</f>
        <v>0.03086172344689379</v>
      </c>
      <c r="H40" s="45">
        <f t="shared" si="17"/>
        <v>0.04088176352705411</v>
      </c>
      <c r="I40" s="45">
        <f t="shared" si="17"/>
        <v>0.10781563126252505</v>
      </c>
      <c r="J40" s="45">
        <f t="shared" si="17"/>
        <v>0.1627254509018036</v>
      </c>
      <c r="K40" s="45">
        <f t="shared" si="17"/>
        <v>0.23527054108216433</v>
      </c>
      <c r="L40" s="45">
        <f t="shared" si="17"/>
        <v>0.17875751503006013</v>
      </c>
      <c r="M40" s="45">
        <f t="shared" si="17"/>
        <v>0.15991983967935874</v>
      </c>
      <c r="N40" s="45">
        <f t="shared" si="17"/>
        <v>0.0016032064128256513</v>
      </c>
      <c r="O40" s="45">
        <f t="shared" si="17"/>
        <v>0.06452905811623247</v>
      </c>
      <c r="P40" s="45">
        <f t="shared" si="17"/>
        <v>0.012424849699398798</v>
      </c>
      <c r="Q40" s="45">
        <f t="shared" si="17"/>
        <v>0</v>
      </c>
      <c r="R40" s="45">
        <f>SUM(F40:Q40)</f>
        <v>1</v>
      </c>
      <c r="T40" s="45"/>
      <c r="U40" s="4" t="s">
        <v>84</v>
      </c>
      <c r="V40" s="322">
        <v>78.96</v>
      </c>
      <c r="W40" s="45" t="s">
        <v>117</v>
      </c>
      <c r="X40" s="45"/>
      <c r="Y40" s="52"/>
      <c r="AE40" s="52"/>
      <c r="AF40" s="49"/>
      <c r="AG40" s="49"/>
    </row>
    <row r="41" spans="1:33" ht="15.75" thickBot="1">
      <c r="A41" s="46"/>
      <c r="B41" s="46"/>
      <c r="C41" s="49"/>
      <c r="F41" s="49"/>
      <c r="G41" s="52"/>
      <c r="H41" s="49"/>
      <c r="I41" s="49"/>
      <c r="J41" s="49"/>
      <c r="K41" s="49"/>
      <c r="L41" s="49"/>
      <c r="M41" s="52"/>
      <c r="N41" s="49"/>
      <c r="O41" s="49"/>
      <c r="P41" s="49"/>
      <c r="Q41" s="49"/>
      <c r="R41" s="49"/>
      <c r="T41" s="45"/>
      <c r="U41" s="4" t="s">
        <v>252</v>
      </c>
      <c r="V41" s="309">
        <v>4.25</v>
      </c>
      <c r="W41" s="45" t="s">
        <v>118</v>
      </c>
      <c r="X41" s="45"/>
      <c r="Y41" s="52"/>
      <c r="AE41" s="52"/>
      <c r="AF41" s="49"/>
      <c r="AG41" s="49"/>
    </row>
    <row r="42" spans="1:33" ht="15.75" thickBot="1">
      <c r="A42" s="136" t="s">
        <v>197</v>
      </c>
      <c r="B42" s="136"/>
      <c r="C42" s="137"/>
      <c r="D42" s="137"/>
      <c r="E42" s="137"/>
      <c r="F42" s="340">
        <v>22.25</v>
      </c>
      <c r="G42" s="145" t="s">
        <v>10</v>
      </c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T42" s="45"/>
      <c r="U42" s="4" t="s">
        <v>82</v>
      </c>
      <c r="V42" s="348">
        <v>66.743</v>
      </c>
      <c r="W42" s="45" t="s">
        <v>119</v>
      </c>
      <c r="X42" s="37"/>
      <c r="Y42" s="52"/>
      <c r="AE42" s="52"/>
      <c r="AF42" s="49"/>
      <c r="AG42" s="49"/>
    </row>
    <row r="43" spans="1:33" ht="15.75">
      <c r="A43" s="46"/>
      <c r="B43" s="46"/>
      <c r="C43" s="49"/>
      <c r="F43" s="53" t="s">
        <v>89</v>
      </c>
      <c r="G43" s="53" t="s">
        <v>90</v>
      </c>
      <c r="H43" s="53" t="s">
        <v>91</v>
      </c>
      <c r="I43" s="53" t="s">
        <v>92</v>
      </c>
      <c r="J43" s="53" t="s">
        <v>23</v>
      </c>
      <c r="K43" s="53" t="s">
        <v>93</v>
      </c>
      <c r="L43" s="53" t="s">
        <v>94</v>
      </c>
      <c r="M43" s="53" t="s">
        <v>95</v>
      </c>
      <c r="N43" s="53" t="s">
        <v>96</v>
      </c>
      <c r="O43" s="53" t="s">
        <v>97</v>
      </c>
      <c r="P43" s="53" t="s">
        <v>98</v>
      </c>
      <c r="Q43" s="53" t="s">
        <v>99</v>
      </c>
      <c r="R43" s="53" t="s">
        <v>73</v>
      </c>
      <c r="T43" s="45"/>
      <c r="U43" s="4" t="s">
        <v>349</v>
      </c>
      <c r="V43" s="348">
        <v>28.89</v>
      </c>
      <c r="W43" s="45"/>
      <c r="X43" s="37"/>
      <c r="Y43" s="52"/>
      <c r="AE43" s="52"/>
      <c r="AF43" s="49"/>
      <c r="AG43" s="49"/>
    </row>
    <row r="44" spans="1:33" ht="15.75">
      <c r="A44" s="46"/>
      <c r="B44" s="46"/>
      <c r="C44" s="49"/>
      <c r="F44" s="53"/>
      <c r="G44" s="50"/>
      <c r="H44" s="50"/>
      <c r="I44" s="53"/>
      <c r="J44" s="50"/>
      <c r="K44" s="50"/>
      <c r="L44" s="50"/>
      <c r="M44" s="50"/>
      <c r="N44" s="53"/>
      <c r="O44" s="50"/>
      <c r="P44" s="53"/>
      <c r="Q44" s="50"/>
      <c r="R44" s="53"/>
      <c r="T44" s="94"/>
      <c r="U44" s="114" t="s">
        <v>364</v>
      </c>
      <c r="V44" s="341">
        <v>7.582</v>
      </c>
      <c r="X44" s="57"/>
      <c r="Y44" s="52"/>
      <c r="AE44" s="52"/>
      <c r="AF44" s="49"/>
      <c r="AG44" s="49"/>
    </row>
    <row r="45" spans="1:33" ht="15.75">
      <c r="A45" s="46" t="s">
        <v>7</v>
      </c>
      <c r="B45" s="46"/>
      <c r="C45" s="49"/>
      <c r="F45" s="49">
        <f>F40*$F42</f>
        <v>0.11593186372745493</v>
      </c>
      <c r="G45" s="49">
        <f aca="true" t="shared" si="18" ref="G45:Q45">G40*$F42</f>
        <v>0.6866733466933869</v>
      </c>
      <c r="H45" s="49">
        <f t="shared" si="18"/>
        <v>0.9096192384769539</v>
      </c>
      <c r="I45" s="49">
        <f t="shared" si="18"/>
        <v>2.3988977955911825</v>
      </c>
      <c r="J45" s="49">
        <f t="shared" si="18"/>
        <v>3.62064128256513</v>
      </c>
      <c r="K45" s="49">
        <f t="shared" si="18"/>
        <v>5.234769539078156</v>
      </c>
      <c r="L45" s="49">
        <f t="shared" si="18"/>
        <v>3.977354709418838</v>
      </c>
      <c r="M45" s="49">
        <f t="shared" si="18"/>
        <v>3.558216432865732</v>
      </c>
      <c r="N45" s="49">
        <f t="shared" si="18"/>
        <v>0.03567134268537074</v>
      </c>
      <c r="O45" s="49">
        <f t="shared" si="18"/>
        <v>1.4357715430861724</v>
      </c>
      <c r="P45" s="49">
        <f t="shared" si="18"/>
        <v>0.27645290581162324</v>
      </c>
      <c r="Q45" s="49">
        <f t="shared" si="18"/>
        <v>0</v>
      </c>
      <c r="R45" s="49">
        <f>SUM(F45:Q45)</f>
        <v>22.25</v>
      </c>
      <c r="U45" s="114" t="s">
        <v>380</v>
      </c>
      <c r="V45" s="341">
        <v>0</v>
      </c>
      <c r="Y45" s="52"/>
      <c r="AE45" s="52"/>
      <c r="AF45" s="49"/>
      <c r="AG45" s="49"/>
    </row>
    <row r="46" spans="1:33" ht="15.75">
      <c r="A46" s="46" t="s">
        <v>6</v>
      </c>
      <c r="B46" s="46"/>
      <c r="C46" s="49"/>
      <c r="F46" s="49">
        <f aca="true" t="shared" si="19" ref="F46:Q46">F45/12</f>
        <v>0.009660988643954578</v>
      </c>
      <c r="G46" s="49">
        <f t="shared" si="19"/>
        <v>0.05722277889111557</v>
      </c>
      <c r="H46" s="49">
        <f t="shared" si="19"/>
        <v>0.07580160320641283</v>
      </c>
      <c r="I46" s="49">
        <f t="shared" si="19"/>
        <v>0.19990814963259854</v>
      </c>
      <c r="J46" s="49">
        <f t="shared" si="19"/>
        <v>0.3017201068804275</v>
      </c>
      <c r="K46" s="49">
        <f t="shared" si="19"/>
        <v>0.4362307949231797</v>
      </c>
      <c r="L46" s="49">
        <f t="shared" si="19"/>
        <v>0.3314462257849032</v>
      </c>
      <c r="M46" s="49">
        <f t="shared" si="19"/>
        <v>0.29651803607214433</v>
      </c>
      <c r="N46" s="49">
        <f t="shared" si="19"/>
        <v>0.0029726118904475616</v>
      </c>
      <c r="O46" s="49">
        <f t="shared" si="19"/>
        <v>0.11964762859051437</v>
      </c>
      <c r="P46" s="49">
        <f t="shared" si="19"/>
        <v>0.023037742150968602</v>
      </c>
      <c r="Q46" s="49">
        <f t="shared" si="19"/>
        <v>0</v>
      </c>
      <c r="R46" s="49">
        <f>SUM(F46:Q46)</f>
        <v>1.8541666666666667</v>
      </c>
      <c r="U46" s="4" t="s">
        <v>174</v>
      </c>
      <c r="V46" s="341">
        <v>0</v>
      </c>
      <c r="W46" s="248" t="s">
        <v>317</v>
      </c>
      <c r="X46" s="57"/>
      <c r="Y46" s="52"/>
      <c r="Z46" s="49"/>
      <c r="AA46" s="49"/>
      <c r="AB46" s="49"/>
      <c r="AC46" s="49"/>
      <c r="AD46" s="49"/>
      <c r="AE46" s="52"/>
      <c r="AF46" s="49"/>
      <c r="AG46" s="49"/>
    </row>
    <row r="47" spans="20:33" ht="15.75">
      <c r="T47" s="4" t="s">
        <v>15</v>
      </c>
      <c r="V47" s="41">
        <f>SUM(V40:V46)</f>
        <v>186.42499999999995</v>
      </c>
      <c r="W47" s="49"/>
      <c r="X47" s="49"/>
      <c r="Y47" s="52"/>
      <c r="Z47" s="49"/>
      <c r="AA47" s="49"/>
      <c r="AB47" s="49"/>
      <c r="AC47" s="49"/>
      <c r="AD47" s="49"/>
      <c r="AE47" s="52"/>
      <c r="AF47" s="49"/>
      <c r="AG47" s="49"/>
    </row>
    <row r="48" spans="22:33" ht="15.75">
      <c r="V48" s="49"/>
      <c r="W48" s="49"/>
      <c r="X48" s="49"/>
      <c r="Y48" s="52"/>
      <c r="Z48" s="49"/>
      <c r="AA48" s="49"/>
      <c r="AB48" s="49"/>
      <c r="AC48" s="49"/>
      <c r="AD48" s="49"/>
      <c r="AE48" s="52"/>
      <c r="AF48" s="49"/>
      <c r="AG48" s="49"/>
    </row>
    <row r="49" spans="22:33" ht="15.75">
      <c r="V49" s="49"/>
      <c r="W49" s="49"/>
      <c r="X49" s="49"/>
      <c r="Y49" s="52"/>
      <c r="Z49" s="49"/>
      <c r="AA49" s="49"/>
      <c r="AB49" s="49"/>
      <c r="AC49" s="49"/>
      <c r="AD49" s="49"/>
      <c r="AE49" s="52"/>
      <c r="AF49" s="49"/>
      <c r="AG49" s="49"/>
    </row>
    <row r="50" spans="22:33" ht="15.75">
      <c r="V50" s="49"/>
      <c r="W50" s="49"/>
      <c r="X50" s="49"/>
      <c r="Y50" s="52"/>
      <c r="Z50" s="49"/>
      <c r="AA50" s="49"/>
      <c r="AB50" s="49"/>
      <c r="AC50" s="49"/>
      <c r="AD50" s="49"/>
      <c r="AE50" s="52"/>
      <c r="AF50" s="49"/>
      <c r="AG50" s="49"/>
    </row>
    <row r="51" spans="2:33" ht="15.75">
      <c r="B51" s="112"/>
      <c r="V51" s="49"/>
      <c r="W51" s="49"/>
      <c r="X51" s="49"/>
      <c r="Y51" s="52"/>
      <c r="Z51" s="49"/>
      <c r="AA51" s="49"/>
      <c r="AB51" s="49"/>
      <c r="AC51" s="49"/>
      <c r="AD51" s="49"/>
      <c r="AE51" s="52"/>
      <c r="AF51" s="49"/>
      <c r="AG51" s="49"/>
    </row>
    <row r="52" spans="2:33" ht="15.75">
      <c r="B52" s="112"/>
      <c r="V52" s="49"/>
      <c r="W52" s="49"/>
      <c r="X52" s="49"/>
      <c r="Y52" s="52"/>
      <c r="Z52" s="49"/>
      <c r="AA52" s="49"/>
      <c r="AB52" s="49"/>
      <c r="AC52" s="49"/>
      <c r="AD52" s="49"/>
      <c r="AE52" s="52"/>
      <c r="AF52" s="49"/>
      <c r="AG52" s="49"/>
    </row>
    <row r="53" spans="2:33" ht="15.75">
      <c r="B53" s="112"/>
      <c r="V53" s="49"/>
      <c r="W53" s="49"/>
      <c r="X53" s="49"/>
      <c r="Y53" s="52"/>
      <c r="Z53" s="49"/>
      <c r="AA53" s="49"/>
      <c r="AB53" s="49"/>
      <c r="AC53" s="49"/>
      <c r="AD53" s="49"/>
      <c r="AE53" s="52"/>
      <c r="AF53" s="49"/>
      <c r="AG53" s="49"/>
    </row>
    <row r="54" spans="2:33" ht="15.75">
      <c r="B54" s="112"/>
      <c r="V54" s="49"/>
      <c r="W54" s="49"/>
      <c r="X54" s="49"/>
      <c r="Y54" s="52"/>
      <c r="Z54" s="49"/>
      <c r="AA54" s="49"/>
      <c r="AB54" s="49"/>
      <c r="AC54" s="49"/>
      <c r="AD54" s="49"/>
      <c r="AE54" s="52"/>
      <c r="AF54" s="49"/>
      <c r="AG54" s="49"/>
    </row>
    <row r="55" spans="2:33" ht="15.75">
      <c r="B55" s="112"/>
      <c r="V55" s="49"/>
      <c r="W55" s="49"/>
      <c r="X55" s="49"/>
      <c r="Y55" s="52"/>
      <c r="Z55" s="49"/>
      <c r="AA55" s="49"/>
      <c r="AB55" s="49"/>
      <c r="AC55" s="49"/>
      <c r="AD55" s="49"/>
      <c r="AE55" s="52"/>
      <c r="AF55" s="49"/>
      <c r="AG55" s="49"/>
    </row>
    <row r="56" spans="2:33" ht="15.75">
      <c r="B56" s="112"/>
      <c r="S56" s="52"/>
      <c r="T56" s="49"/>
      <c r="V56" s="49"/>
      <c r="W56" s="49"/>
      <c r="X56" s="49"/>
      <c r="Y56" s="52"/>
      <c r="Z56" s="49"/>
      <c r="AA56" s="49"/>
      <c r="AB56" s="49"/>
      <c r="AC56" s="49"/>
      <c r="AD56" s="49"/>
      <c r="AE56" s="52"/>
      <c r="AF56" s="49"/>
      <c r="AG56" s="49"/>
    </row>
    <row r="57" spans="1:33" s="49" customFormat="1" ht="15.75">
      <c r="A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Z57" s="46"/>
      <c r="AA57" s="46"/>
      <c r="AB57" s="46"/>
      <c r="AC57" s="46"/>
      <c r="AD57" s="46"/>
      <c r="AE57" s="50"/>
      <c r="AF57" s="46"/>
      <c r="AG57" s="46"/>
    </row>
    <row r="58" spans="2:33" ht="15.75">
      <c r="B58" s="112"/>
      <c r="V58" s="49"/>
      <c r="W58" s="49"/>
      <c r="X58" s="49"/>
      <c r="Y58" s="52"/>
      <c r="Z58" s="49"/>
      <c r="AA58" s="49"/>
      <c r="AB58" s="49"/>
      <c r="AC58" s="49"/>
      <c r="AD58" s="49"/>
      <c r="AE58" s="52"/>
      <c r="AF58" s="49"/>
      <c r="AG58" s="49"/>
    </row>
    <row r="59" spans="2:33" ht="15.75">
      <c r="B59" s="112"/>
      <c r="V59" s="49"/>
      <c r="W59" s="49"/>
      <c r="X59" s="49"/>
      <c r="Y59" s="52"/>
      <c r="Z59" s="49"/>
      <c r="AA59" s="49"/>
      <c r="AB59" s="49"/>
      <c r="AC59" s="49"/>
      <c r="AD59" s="49"/>
      <c r="AE59" s="52"/>
      <c r="AF59" s="49"/>
      <c r="AG59" s="49"/>
    </row>
    <row r="60" spans="2:33" ht="15.75">
      <c r="B60" s="112"/>
      <c r="V60" s="49"/>
      <c r="W60" s="49"/>
      <c r="Y60" s="52"/>
      <c r="Z60" s="49"/>
      <c r="AA60" s="49"/>
      <c r="AB60" s="49"/>
      <c r="AC60" s="49"/>
      <c r="AD60" s="49"/>
      <c r="AE60" s="52"/>
      <c r="AF60" s="49"/>
      <c r="AG60" s="49"/>
    </row>
    <row r="61" spans="2:33" ht="15.75">
      <c r="B61" s="112"/>
      <c r="U61" s="112"/>
      <c r="V61" s="49"/>
      <c r="W61" s="49"/>
      <c r="X61" s="49"/>
      <c r="Y61" s="52"/>
      <c r="Z61" s="49"/>
      <c r="AA61" s="49"/>
      <c r="AB61" s="49"/>
      <c r="AC61" s="49"/>
      <c r="AD61" s="49"/>
      <c r="AE61" s="52"/>
      <c r="AF61" s="49"/>
      <c r="AG61" s="49"/>
    </row>
    <row r="62" ht="15.75">
      <c r="B62" s="112"/>
    </row>
  </sheetData>
  <sheetProtection password="CC93" sheet="1" objects="1" scenarios="1"/>
  <mergeCells count="12">
    <mergeCell ref="S27:X27"/>
    <mergeCell ref="AD6:AH6"/>
    <mergeCell ref="F27:K27"/>
    <mergeCell ref="L27:Q27"/>
    <mergeCell ref="W8:X10"/>
    <mergeCell ref="W11:X11"/>
    <mergeCell ref="K6:P6"/>
    <mergeCell ref="Q6:V6"/>
    <mergeCell ref="AJ6:AN6"/>
    <mergeCell ref="AP6:AT6"/>
    <mergeCell ref="A3:C3"/>
    <mergeCell ref="E6:J6"/>
  </mergeCells>
  <printOptions gridLines="1" horizontalCentered="1"/>
  <pageMargins left="0.75" right="0.25" top="0.75" bottom="0.75" header="0.5" footer="0.5"/>
  <pageSetup fitToHeight="1" fitToWidth="1" horizontalDpi="600" verticalDpi="600" orientation="landscape" paperSize="17" scale="75" r:id="rId3"/>
  <headerFooter alignWithMargins="0">
    <oddHeader>&amp;L&amp;D</oddHeader>
    <oddFooter>&amp;L&amp;F&amp;R&amp;A</oddFooter>
  </headerFooter>
  <colBreaks count="1" manualBreakCount="1">
    <brk id="46" max="65535" man="1"/>
  </colBreaks>
  <ignoredErrors>
    <ignoredError sqref="D14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the State Engineer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cbernero</dc:creator>
  <cp:keywords/>
  <dc:description/>
  <cp:lastModifiedBy>Paul Harms</cp:lastModifiedBy>
  <cp:lastPrinted>2014-01-14T23:25:34Z</cp:lastPrinted>
  <dcterms:created xsi:type="dcterms:W3CDTF">2003-07-30T16:53:01Z</dcterms:created>
  <dcterms:modified xsi:type="dcterms:W3CDTF">2017-02-03T18:01:35Z</dcterms:modified>
  <cp:category/>
  <cp:version/>
  <cp:contentType/>
  <cp:contentStatus/>
</cp:coreProperties>
</file>